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80" windowWidth="9540" windowHeight="7090"/>
  </bookViews>
  <sheets>
    <sheet name="Yhteenveto" sheetId="1" r:id="rId1"/>
    <sheet name="velka_vuosi" sheetId="2" r:id="rId2"/>
    <sheet name="hallitus_kaudet" sheetId="3" r:id="rId3"/>
  </sheets>
  <calcPr calcId="125725"/>
</workbook>
</file>

<file path=xl/calcChain.xml><?xml version="1.0" encoding="utf-8"?>
<calcChain xmlns="http://schemas.openxmlformats.org/spreadsheetml/2006/main">
  <c r="AI96" i="1"/>
  <c r="X4"/>
  <c r="AA4"/>
  <c r="AA5" s="1"/>
  <c r="AA6" s="1"/>
  <c r="AA7" s="1"/>
  <c r="AA8" s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B4"/>
  <c r="AB5" s="1"/>
  <c r="AB6" s="1"/>
  <c r="AB7" s="1"/>
  <c r="AB8" s="1"/>
  <c r="AB9" s="1"/>
  <c r="AB10" s="1"/>
  <c r="AB11" s="1"/>
  <c r="AB12" s="1"/>
  <c r="AB13" s="1"/>
  <c r="AB14" s="1"/>
  <c r="AB15" s="1"/>
  <c r="AB16" s="1"/>
  <c r="AB17" s="1"/>
  <c r="AB18" s="1"/>
  <c r="AB19" s="1"/>
  <c r="AB20" s="1"/>
  <c r="AB21" s="1"/>
  <c r="AB22" s="1"/>
  <c r="AB23" s="1"/>
  <c r="AB24" s="1"/>
  <c r="AB25" s="1"/>
  <c r="AB26" s="1"/>
  <c r="AB27" s="1"/>
  <c r="AB28" s="1"/>
  <c r="AB29" s="1"/>
  <c r="AB30" s="1"/>
  <c r="AB31" s="1"/>
  <c r="AB32" s="1"/>
  <c r="AB33" s="1"/>
  <c r="AB34" s="1"/>
  <c r="AB35" s="1"/>
  <c r="AB36" s="1"/>
  <c r="AB37" s="1"/>
  <c r="AB38" s="1"/>
  <c r="AB39" s="1"/>
  <c r="AB40" s="1"/>
  <c r="AB41" s="1"/>
  <c r="AB42" s="1"/>
  <c r="AB43" s="1"/>
  <c r="AB44" s="1"/>
  <c r="AB45" s="1"/>
  <c r="AB46" s="1"/>
  <c r="AB47" s="1"/>
  <c r="AB48" s="1"/>
  <c r="AB49" s="1"/>
  <c r="AB50" s="1"/>
  <c r="AB51" s="1"/>
  <c r="AB52" s="1"/>
  <c r="AB53" s="1"/>
  <c r="AB54" s="1"/>
  <c r="AB55" s="1"/>
  <c r="AB56" s="1"/>
  <c r="AB57" s="1"/>
  <c r="AB58" s="1"/>
  <c r="AB59" s="1"/>
  <c r="AB60" s="1"/>
  <c r="AB61" s="1"/>
  <c r="AB62" s="1"/>
  <c r="AB63" s="1"/>
  <c r="AB64" s="1"/>
  <c r="AB65" s="1"/>
  <c r="AB66" s="1"/>
  <c r="AB67" s="1"/>
  <c r="AB68" s="1"/>
  <c r="AB69" s="1"/>
  <c r="AB70" s="1"/>
  <c r="AB71" s="1"/>
  <c r="AB72" s="1"/>
  <c r="AB73" s="1"/>
  <c r="AB74" s="1"/>
  <c r="AB75" s="1"/>
  <c r="AB76" s="1"/>
  <c r="AB77" s="1"/>
  <c r="AB78" s="1"/>
  <c r="AB79" s="1"/>
  <c r="AB80" s="1"/>
  <c r="AB81" s="1"/>
  <c r="AB82" s="1"/>
  <c r="AB83" s="1"/>
  <c r="AB84" s="1"/>
  <c r="AB85" s="1"/>
  <c r="AB86" s="1"/>
  <c r="AB87" s="1"/>
  <c r="AB88" s="1"/>
  <c r="AB89" s="1"/>
  <c r="AB90" s="1"/>
  <c r="AB91" s="1"/>
  <c r="AB92" s="1"/>
  <c r="AB93" s="1"/>
  <c r="AB94" s="1"/>
  <c r="AB95" s="1"/>
  <c r="AB96" s="1"/>
  <c r="AC4"/>
  <c r="AC5" s="1"/>
  <c r="AC6" s="1"/>
  <c r="AC7" s="1"/>
  <c r="AC8" s="1"/>
  <c r="AC9" s="1"/>
  <c r="AC10" s="1"/>
  <c r="AC11" s="1"/>
  <c r="AC12" s="1"/>
  <c r="AC13" s="1"/>
  <c r="AC14" s="1"/>
  <c r="AC15" s="1"/>
  <c r="AC16" s="1"/>
  <c r="AC17" s="1"/>
  <c r="AC18" s="1"/>
  <c r="AC19" s="1"/>
  <c r="AC20" s="1"/>
  <c r="AC21" s="1"/>
  <c r="AC22" s="1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39" s="1"/>
  <c r="AC40" s="1"/>
  <c r="AC41" s="1"/>
  <c r="AC42" s="1"/>
  <c r="AC43" s="1"/>
  <c r="AC44" s="1"/>
  <c r="AC45" s="1"/>
  <c r="AC46" s="1"/>
  <c r="AC47" s="1"/>
  <c r="AC48" s="1"/>
  <c r="AC49" s="1"/>
  <c r="AC50" s="1"/>
  <c r="AC51" s="1"/>
  <c r="AC52" s="1"/>
  <c r="AC53" s="1"/>
  <c r="AC54" s="1"/>
  <c r="AC55" s="1"/>
  <c r="AC56" s="1"/>
  <c r="AC57" s="1"/>
  <c r="AC58" s="1"/>
  <c r="AC59" s="1"/>
  <c r="AC60" s="1"/>
  <c r="AC61" s="1"/>
  <c r="AC62" s="1"/>
  <c r="AC63" s="1"/>
  <c r="AC64" s="1"/>
  <c r="AC65" s="1"/>
  <c r="AC66" s="1"/>
  <c r="AC67" s="1"/>
  <c r="AC68" s="1"/>
  <c r="AC69" s="1"/>
  <c r="AC70" s="1"/>
  <c r="AC71" s="1"/>
  <c r="AC72" s="1"/>
  <c r="AC73" s="1"/>
  <c r="AC74" s="1"/>
  <c r="AC75" s="1"/>
  <c r="AC76" s="1"/>
  <c r="AC77" s="1"/>
  <c r="AC78" s="1"/>
  <c r="AC79" s="1"/>
  <c r="AC80" s="1"/>
  <c r="AC81" s="1"/>
  <c r="AC82" s="1"/>
  <c r="AC83" s="1"/>
  <c r="AC84" s="1"/>
  <c r="AC85" s="1"/>
  <c r="AC86" s="1"/>
  <c r="AC87" s="1"/>
  <c r="AC88" s="1"/>
  <c r="AC89" s="1"/>
  <c r="AC90" s="1"/>
  <c r="AC91" s="1"/>
  <c r="AC92" s="1"/>
  <c r="AC93" s="1"/>
  <c r="AC94" s="1"/>
  <c r="AC95" s="1"/>
  <c r="AC96" s="1"/>
  <c r="X5"/>
  <c r="X6"/>
  <c r="X7" s="1"/>
  <c r="X8" s="1"/>
  <c r="X9" s="1"/>
  <c r="X10" s="1"/>
  <c r="X11" s="1"/>
  <c r="X12" s="1"/>
  <c r="X13" s="1"/>
  <c r="X14" s="1"/>
  <c r="X15" s="1"/>
  <c r="X16" s="1"/>
  <c r="X17" s="1"/>
  <c r="X18" s="1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X34" s="1"/>
  <c r="X35" s="1"/>
  <c r="X36" s="1"/>
  <c r="X37" s="1"/>
  <c r="X38" s="1"/>
  <c r="X39" s="1"/>
  <c r="X40" s="1"/>
  <c r="X41" s="1"/>
  <c r="X42" s="1"/>
  <c r="X43" s="1"/>
  <c r="X44" s="1"/>
  <c r="X45" s="1"/>
  <c r="X46" s="1"/>
  <c r="X47" s="1"/>
  <c r="X48" s="1"/>
  <c r="X49" s="1"/>
  <c r="X50" s="1"/>
  <c r="X51" s="1"/>
  <c r="X52" s="1"/>
  <c r="X53" s="1"/>
  <c r="X54" s="1"/>
  <c r="X55" s="1"/>
  <c r="X56" s="1"/>
  <c r="X57" s="1"/>
  <c r="X58" s="1"/>
  <c r="X59" s="1"/>
  <c r="X60" s="1"/>
  <c r="X61" s="1"/>
  <c r="X62" s="1"/>
  <c r="X63" s="1"/>
  <c r="X64" s="1"/>
  <c r="X65" s="1"/>
  <c r="X66" s="1"/>
  <c r="X67" s="1"/>
  <c r="X68" s="1"/>
  <c r="X69" s="1"/>
  <c r="X70" s="1"/>
  <c r="X71" s="1"/>
  <c r="X72" s="1"/>
  <c r="X73" s="1"/>
  <c r="X74" s="1"/>
  <c r="X75" s="1"/>
  <c r="X76" s="1"/>
  <c r="X77" s="1"/>
  <c r="X78" s="1"/>
  <c r="X79" s="1"/>
  <c r="X80" s="1"/>
  <c r="X81" s="1"/>
  <c r="X82" s="1"/>
  <c r="X83" s="1"/>
  <c r="X84" s="1"/>
  <c r="X85" s="1"/>
  <c r="X86" s="1"/>
  <c r="X87" s="1"/>
  <c r="X88" s="1"/>
  <c r="X89" s="1"/>
  <c r="X90" s="1"/>
  <c r="X91" s="1"/>
  <c r="X92" s="1"/>
  <c r="X93" s="1"/>
  <c r="X94" s="1"/>
  <c r="X95" s="1"/>
  <c r="X96" s="1"/>
  <c r="Y3"/>
  <c r="Y4" s="1"/>
  <c r="Y5" s="1"/>
  <c r="Y6" s="1"/>
  <c r="Y7" s="1"/>
  <c r="Y8" s="1"/>
  <c r="Y9" s="1"/>
  <c r="Y10" s="1"/>
  <c r="Y11" s="1"/>
  <c r="Y12" s="1"/>
  <c r="Y13" s="1"/>
  <c r="Y14" s="1"/>
  <c r="Y15" s="1"/>
  <c r="Y16" s="1"/>
  <c r="Y17" s="1"/>
  <c r="Y18" s="1"/>
  <c r="Y19" s="1"/>
  <c r="Y20" s="1"/>
  <c r="Y21" s="1"/>
  <c r="Y22" s="1"/>
  <c r="Y23" s="1"/>
  <c r="Y24" s="1"/>
  <c r="Y25" s="1"/>
  <c r="Y26" s="1"/>
  <c r="Y27" s="1"/>
  <c r="Y28" s="1"/>
  <c r="Y29" s="1"/>
  <c r="Y30" s="1"/>
  <c r="Y31" s="1"/>
  <c r="Y32" s="1"/>
  <c r="Y33" s="1"/>
  <c r="Y34" s="1"/>
  <c r="Y35" s="1"/>
  <c r="Y36" s="1"/>
  <c r="Y37" s="1"/>
  <c r="Y38" s="1"/>
  <c r="Y39" s="1"/>
  <c r="Y40" s="1"/>
  <c r="Y41" s="1"/>
  <c r="Y42" s="1"/>
  <c r="Y43" s="1"/>
  <c r="Y44" s="1"/>
  <c r="Y45" s="1"/>
  <c r="Y46" s="1"/>
  <c r="Y47" s="1"/>
  <c r="Y48" s="1"/>
  <c r="Y49" s="1"/>
  <c r="Y50" s="1"/>
  <c r="Y51" s="1"/>
  <c r="Y52" s="1"/>
  <c r="Y53" s="1"/>
  <c r="Y54" s="1"/>
  <c r="Y55" s="1"/>
  <c r="Y56" s="1"/>
  <c r="Y57" s="1"/>
  <c r="Y58" s="1"/>
  <c r="Y59" s="1"/>
  <c r="Y60" s="1"/>
  <c r="Y61" s="1"/>
  <c r="Y62" s="1"/>
  <c r="Y63" s="1"/>
  <c r="Y64" s="1"/>
  <c r="Y65" s="1"/>
  <c r="Y66" s="1"/>
  <c r="Y67" s="1"/>
  <c r="Y68" s="1"/>
  <c r="Y69" s="1"/>
  <c r="Y70" s="1"/>
  <c r="Y71" s="1"/>
  <c r="Y72" s="1"/>
  <c r="Y73" s="1"/>
  <c r="Y74" s="1"/>
  <c r="Y75" s="1"/>
  <c r="Y76" s="1"/>
  <c r="Y77" s="1"/>
  <c r="Y78" s="1"/>
  <c r="Y79" s="1"/>
  <c r="Y80" s="1"/>
  <c r="Y81" s="1"/>
  <c r="Y82" s="1"/>
  <c r="Y83" s="1"/>
  <c r="Y84" s="1"/>
  <c r="Y85" s="1"/>
  <c r="Y86" s="1"/>
  <c r="Y87" s="1"/>
  <c r="Y88" s="1"/>
  <c r="Y89" s="1"/>
  <c r="Y90" s="1"/>
  <c r="Y91" s="1"/>
  <c r="Y92" s="1"/>
  <c r="Y93" s="1"/>
  <c r="Y94" s="1"/>
  <c r="Y95" s="1"/>
  <c r="Y96" s="1"/>
  <c r="Z3"/>
  <c r="Z4" s="1"/>
  <c r="Z5" s="1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25" s="1"/>
  <c r="Z26" s="1"/>
  <c r="Z27" s="1"/>
  <c r="Z28" s="1"/>
  <c r="Z29" s="1"/>
  <c r="Z30" s="1"/>
  <c r="Z31" s="1"/>
  <c r="Z32" s="1"/>
  <c r="Z33" s="1"/>
  <c r="Z34" s="1"/>
  <c r="Z35" s="1"/>
  <c r="Z36" s="1"/>
  <c r="Z37" s="1"/>
  <c r="Z38" s="1"/>
  <c r="Z39" s="1"/>
  <c r="Z40" s="1"/>
  <c r="Z41" s="1"/>
  <c r="Z42" s="1"/>
  <c r="Z43" s="1"/>
  <c r="Z44" s="1"/>
  <c r="Z45" s="1"/>
  <c r="Z46" s="1"/>
  <c r="Z47" s="1"/>
  <c r="Z48" s="1"/>
  <c r="Z49" s="1"/>
  <c r="Z50" s="1"/>
  <c r="Z51" s="1"/>
  <c r="Z52" s="1"/>
  <c r="Z53" s="1"/>
  <c r="Z54" s="1"/>
  <c r="Z55" s="1"/>
  <c r="Z56" s="1"/>
  <c r="Z57" s="1"/>
  <c r="Z58" s="1"/>
  <c r="Z59" s="1"/>
  <c r="Z60" s="1"/>
  <c r="Z61" s="1"/>
  <c r="Z62" s="1"/>
  <c r="Z63" s="1"/>
  <c r="Z64" s="1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Z85" s="1"/>
  <c r="Z86" s="1"/>
  <c r="Z87" s="1"/>
  <c r="Z88" s="1"/>
  <c r="Z89" s="1"/>
  <c r="Z90" s="1"/>
  <c r="Z91" s="1"/>
  <c r="Z92" s="1"/>
  <c r="Z93" s="1"/>
  <c r="Z94" s="1"/>
  <c r="Z95" s="1"/>
  <c r="Z96" s="1"/>
  <c r="AA3"/>
  <c r="AB3"/>
  <c r="AC3"/>
  <c r="AD3"/>
  <c r="AD4" s="1"/>
  <c r="AD5" s="1"/>
  <c r="AD6" s="1"/>
  <c r="AD7" s="1"/>
  <c r="AD8" s="1"/>
  <c r="AD9" s="1"/>
  <c r="AD10" s="1"/>
  <c r="AD11" s="1"/>
  <c r="AD12" s="1"/>
  <c r="AD13" s="1"/>
  <c r="AD14" s="1"/>
  <c r="AD15" s="1"/>
  <c r="AD16" s="1"/>
  <c r="AD17" s="1"/>
  <c r="AD18" s="1"/>
  <c r="AD19" s="1"/>
  <c r="AD20" s="1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D50" s="1"/>
  <c r="AD51" s="1"/>
  <c r="AD52" s="1"/>
  <c r="AD53" s="1"/>
  <c r="AD54" s="1"/>
  <c r="AD55" s="1"/>
  <c r="AD56" s="1"/>
  <c r="AD57" s="1"/>
  <c r="AD58" s="1"/>
  <c r="AD59" s="1"/>
  <c r="AD60" s="1"/>
  <c r="AD61" s="1"/>
  <c r="AD62" s="1"/>
  <c r="AD63" s="1"/>
  <c r="AD64" s="1"/>
  <c r="AD65" s="1"/>
  <c r="AD66" s="1"/>
  <c r="AD67" s="1"/>
  <c r="AD68" s="1"/>
  <c r="AD69" s="1"/>
  <c r="AD70" s="1"/>
  <c r="AD71" s="1"/>
  <c r="AD72" s="1"/>
  <c r="AD73" s="1"/>
  <c r="AD74" s="1"/>
  <c r="AD75" s="1"/>
  <c r="AD76" s="1"/>
  <c r="AD77" s="1"/>
  <c r="AD78" s="1"/>
  <c r="AD79" s="1"/>
  <c r="AD80" s="1"/>
  <c r="AD81" s="1"/>
  <c r="AD82" s="1"/>
  <c r="AD83" s="1"/>
  <c r="AD84" s="1"/>
  <c r="AD85" s="1"/>
  <c r="AD86" s="1"/>
  <c r="AD87" s="1"/>
  <c r="AD88" s="1"/>
  <c r="AD89" s="1"/>
  <c r="AD90" s="1"/>
  <c r="AD91" s="1"/>
  <c r="AD92" s="1"/>
  <c r="AD93" s="1"/>
  <c r="AD94" s="1"/>
  <c r="AD95" s="1"/>
  <c r="AD96" s="1"/>
  <c r="AE3"/>
  <c r="AE4" s="1"/>
  <c r="AE5" s="1"/>
  <c r="AE6" s="1"/>
  <c r="AE7" s="1"/>
  <c r="AE8" s="1"/>
  <c r="AE9" s="1"/>
  <c r="AE10" s="1"/>
  <c r="AE11" s="1"/>
  <c r="AE12" s="1"/>
  <c r="AE13" s="1"/>
  <c r="AE14" s="1"/>
  <c r="AE15" s="1"/>
  <c r="AE16" s="1"/>
  <c r="AE17" s="1"/>
  <c r="AE18" s="1"/>
  <c r="AE19" s="1"/>
  <c r="AE20" s="1"/>
  <c r="AE21" s="1"/>
  <c r="AE22" s="1"/>
  <c r="AE23" s="1"/>
  <c r="AE24" s="1"/>
  <c r="AE25" s="1"/>
  <c r="AE26" s="1"/>
  <c r="AE27" s="1"/>
  <c r="AE28" s="1"/>
  <c r="AE29" s="1"/>
  <c r="AE30" s="1"/>
  <c r="AE31" s="1"/>
  <c r="AE32" s="1"/>
  <c r="AE33" s="1"/>
  <c r="AE34" s="1"/>
  <c r="AE35" s="1"/>
  <c r="AE36" s="1"/>
  <c r="AE37" s="1"/>
  <c r="AE38" s="1"/>
  <c r="AE39" s="1"/>
  <c r="AE40" s="1"/>
  <c r="AE41" s="1"/>
  <c r="AE42" s="1"/>
  <c r="AE43" s="1"/>
  <c r="AE44" s="1"/>
  <c r="AE45" s="1"/>
  <c r="AE46" s="1"/>
  <c r="AE47" s="1"/>
  <c r="AE48" s="1"/>
  <c r="AE49" s="1"/>
  <c r="AE50" s="1"/>
  <c r="AE51" s="1"/>
  <c r="AE52" s="1"/>
  <c r="AE53" s="1"/>
  <c r="AE54" s="1"/>
  <c r="AE55" s="1"/>
  <c r="AE56" s="1"/>
  <c r="AE57" s="1"/>
  <c r="AE58" s="1"/>
  <c r="AE59" s="1"/>
  <c r="AE60" s="1"/>
  <c r="AE61" s="1"/>
  <c r="AE62" s="1"/>
  <c r="AE63" s="1"/>
  <c r="AE64" s="1"/>
  <c r="AE65" s="1"/>
  <c r="AE66" s="1"/>
  <c r="AE67" s="1"/>
  <c r="AE68" s="1"/>
  <c r="AE69" s="1"/>
  <c r="AE70" s="1"/>
  <c r="AE71" s="1"/>
  <c r="AE72" s="1"/>
  <c r="AE73" s="1"/>
  <c r="AE74" s="1"/>
  <c r="AE75" s="1"/>
  <c r="AE76" s="1"/>
  <c r="AE77" s="1"/>
  <c r="AE78" s="1"/>
  <c r="AE79" s="1"/>
  <c r="AE80" s="1"/>
  <c r="AE81" s="1"/>
  <c r="AE82" s="1"/>
  <c r="AE83" s="1"/>
  <c r="AE84" s="1"/>
  <c r="AE85" s="1"/>
  <c r="AE86" s="1"/>
  <c r="AE87" s="1"/>
  <c r="AE88" s="1"/>
  <c r="AE89" s="1"/>
  <c r="AE90" s="1"/>
  <c r="AE91" s="1"/>
  <c r="AE92" s="1"/>
  <c r="AE93" s="1"/>
  <c r="AE94" s="1"/>
  <c r="AE95" s="1"/>
  <c r="AE96" s="1"/>
  <c r="AF3"/>
  <c r="AF4" s="1"/>
  <c r="AF5" s="1"/>
  <c r="AF6" s="1"/>
  <c r="AF7" s="1"/>
  <c r="AF8" s="1"/>
  <c r="AF9" s="1"/>
  <c r="AF10" s="1"/>
  <c r="AF11" s="1"/>
  <c r="AF12" s="1"/>
  <c r="AF13" s="1"/>
  <c r="AF14" s="1"/>
  <c r="AF15" s="1"/>
  <c r="AF16" s="1"/>
  <c r="AF17" s="1"/>
  <c r="AF18" s="1"/>
  <c r="AF19" s="1"/>
  <c r="AF20" s="1"/>
  <c r="AF21" s="1"/>
  <c r="AF22" s="1"/>
  <c r="AF23" s="1"/>
  <c r="AF24" s="1"/>
  <c r="AF25" s="1"/>
  <c r="AF26" s="1"/>
  <c r="AF27" s="1"/>
  <c r="AF28" s="1"/>
  <c r="AF29" s="1"/>
  <c r="AF30" s="1"/>
  <c r="AF31" s="1"/>
  <c r="AF32" s="1"/>
  <c r="AF33" s="1"/>
  <c r="AF34" s="1"/>
  <c r="AF35" s="1"/>
  <c r="AF36" s="1"/>
  <c r="AF37" s="1"/>
  <c r="AF38" s="1"/>
  <c r="AF39" s="1"/>
  <c r="AF40" s="1"/>
  <c r="AF41" s="1"/>
  <c r="AF42" s="1"/>
  <c r="AF43" s="1"/>
  <c r="AF44" s="1"/>
  <c r="AF45" s="1"/>
  <c r="AF46" s="1"/>
  <c r="AF47" s="1"/>
  <c r="AF48" s="1"/>
  <c r="AF49" s="1"/>
  <c r="AF50" s="1"/>
  <c r="AF51" s="1"/>
  <c r="AF52" s="1"/>
  <c r="AF53" s="1"/>
  <c r="AF54" s="1"/>
  <c r="AF55" s="1"/>
  <c r="AF56" s="1"/>
  <c r="AF57" s="1"/>
  <c r="AF58" s="1"/>
  <c r="AF59" s="1"/>
  <c r="AF60" s="1"/>
  <c r="AF61" s="1"/>
  <c r="AF62" s="1"/>
  <c r="AF63" s="1"/>
  <c r="AF64" s="1"/>
  <c r="AF65" s="1"/>
  <c r="AF66" s="1"/>
  <c r="AF67" s="1"/>
  <c r="AF68" s="1"/>
  <c r="AF69" s="1"/>
  <c r="AF70" s="1"/>
  <c r="AF71" s="1"/>
  <c r="AF72" s="1"/>
  <c r="AF73" s="1"/>
  <c r="AF74" s="1"/>
  <c r="AF75" s="1"/>
  <c r="AF76" s="1"/>
  <c r="AF77" s="1"/>
  <c r="AF78" s="1"/>
  <c r="AF79" s="1"/>
  <c r="AF80" s="1"/>
  <c r="AF81" s="1"/>
  <c r="AF82" s="1"/>
  <c r="AF83" s="1"/>
  <c r="AF84" s="1"/>
  <c r="AF85" s="1"/>
  <c r="AF86" s="1"/>
  <c r="AF87" s="1"/>
  <c r="AF88" s="1"/>
  <c r="AF89" s="1"/>
  <c r="AF90" s="1"/>
  <c r="AF91" s="1"/>
  <c r="AF92" s="1"/>
  <c r="AF93" s="1"/>
  <c r="AF94" s="1"/>
  <c r="AF95" s="1"/>
  <c r="AF96" s="1"/>
  <c r="AG3"/>
  <c r="AG4" s="1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AG35" s="1"/>
  <c r="AG36" s="1"/>
  <c r="AG37" s="1"/>
  <c r="AG38" s="1"/>
  <c r="AG39" s="1"/>
  <c r="AG40" s="1"/>
  <c r="AG41" s="1"/>
  <c r="AG42" s="1"/>
  <c r="AG43" s="1"/>
  <c r="AG44" s="1"/>
  <c r="AG45" s="1"/>
  <c r="AG46" s="1"/>
  <c r="AG47" s="1"/>
  <c r="AG48" s="1"/>
  <c r="AG49" s="1"/>
  <c r="AG50" s="1"/>
  <c r="AG51" s="1"/>
  <c r="AG52" s="1"/>
  <c r="AG53" s="1"/>
  <c r="AG54" s="1"/>
  <c r="AG55" s="1"/>
  <c r="AG56" s="1"/>
  <c r="AG57" s="1"/>
  <c r="AG58" s="1"/>
  <c r="AG59" s="1"/>
  <c r="AG60" s="1"/>
  <c r="AG61" s="1"/>
  <c r="AG62" s="1"/>
  <c r="AG63" s="1"/>
  <c r="AG64" s="1"/>
  <c r="AG65" s="1"/>
  <c r="AG66" s="1"/>
  <c r="AG67" s="1"/>
  <c r="AG68" s="1"/>
  <c r="AG69" s="1"/>
  <c r="AG70" s="1"/>
  <c r="AG71" s="1"/>
  <c r="AG72" s="1"/>
  <c r="AG73" s="1"/>
  <c r="AG74" s="1"/>
  <c r="AG75" s="1"/>
  <c r="AG76" s="1"/>
  <c r="AG77" s="1"/>
  <c r="AG78" s="1"/>
  <c r="AG79" s="1"/>
  <c r="AG80" s="1"/>
  <c r="AG81" s="1"/>
  <c r="AG82" s="1"/>
  <c r="AG83" s="1"/>
  <c r="AG84" s="1"/>
  <c r="AG85" s="1"/>
  <c r="AG86" s="1"/>
  <c r="AG87" s="1"/>
  <c r="AG88" s="1"/>
  <c r="AG89" s="1"/>
  <c r="AG90" s="1"/>
  <c r="AG91" s="1"/>
  <c r="AG92" s="1"/>
  <c r="AG93" s="1"/>
  <c r="AG94" s="1"/>
  <c r="AG95" s="1"/>
  <c r="AG96" s="1"/>
  <c r="AH3"/>
  <c r="AH4" s="1"/>
  <c r="AH5" s="1"/>
  <c r="AH6" s="1"/>
  <c r="AH7" s="1"/>
  <c r="AH8" s="1"/>
  <c r="AH9" s="1"/>
  <c r="AH10" s="1"/>
  <c r="AH11" s="1"/>
  <c r="AH12" s="1"/>
  <c r="AH13" s="1"/>
  <c r="AH14" s="1"/>
  <c r="AH15" s="1"/>
  <c r="AH16" s="1"/>
  <c r="AH17" s="1"/>
  <c r="AH18" s="1"/>
  <c r="AH19" s="1"/>
  <c r="AH20" s="1"/>
  <c r="AH21" s="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AH39" s="1"/>
  <c r="AH40" s="1"/>
  <c r="AH41" s="1"/>
  <c r="AH42" s="1"/>
  <c r="AH43" s="1"/>
  <c r="AH44" s="1"/>
  <c r="AH45" s="1"/>
  <c r="AH46" s="1"/>
  <c r="AH47" s="1"/>
  <c r="AH48" s="1"/>
  <c r="AH49" s="1"/>
  <c r="AH50" s="1"/>
  <c r="AH51" s="1"/>
  <c r="AH52" s="1"/>
  <c r="AH53" s="1"/>
  <c r="AH54" s="1"/>
  <c r="AH55" s="1"/>
  <c r="AH56" s="1"/>
  <c r="AH57" s="1"/>
  <c r="AH58" s="1"/>
  <c r="AH59" s="1"/>
  <c r="AH60" s="1"/>
  <c r="AH61" s="1"/>
  <c r="AH62" s="1"/>
  <c r="AH63" s="1"/>
  <c r="AH64" s="1"/>
  <c r="AH65" s="1"/>
  <c r="AH66" s="1"/>
  <c r="AH67" s="1"/>
  <c r="AH68" s="1"/>
  <c r="AH69" s="1"/>
  <c r="AH70" s="1"/>
  <c r="AH71" s="1"/>
  <c r="AH72" s="1"/>
  <c r="AH73" s="1"/>
  <c r="AH74" s="1"/>
  <c r="AH75" s="1"/>
  <c r="AH76" s="1"/>
  <c r="AH77" s="1"/>
  <c r="AH78" s="1"/>
  <c r="AH79" s="1"/>
  <c r="AH80" s="1"/>
  <c r="AH81" s="1"/>
  <c r="AH82" s="1"/>
  <c r="AH83" s="1"/>
  <c r="AH84" s="1"/>
  <c r="AH85" s="1"/>
  <c r="AH86" s="1"/>
  <c r="AH87" s="1"/>
  <c r="AH88" s="1"/>
  <c r="AH89" s="1"/>
  <c r="AH90" s="1"/>
  <c r="AH91" s="1"/>
  <c r="AH92" s="1"/>
  <c r="AH93" s="1"/>
  <c r="AH94" s="1"/>
  <c r="AH95" s="1"/>
  <c r="AH96" s="1"/>
  <c r="X3"/>
  <c r="Y2"/>
  <c r="Z2"/>
  <c r="AA2"/>
  <c r="AB2"/>
  <c r="AC2"/>
  <c r="AD2"/>
  <c r="AE2"/>
  <c r="AF2"/>
  <c r="AG2"/>
  <c r="AH2"/>
  <c r="X2"/>
  <c r="J93"/>
  <c r="L93"/>
  <c r="N93"/>
  <c r="P93"/>
  <c r="S93"/>
  <c r="U93" s="1"/>
  <c r="J94"/>
  <c r="U94" s="1"/>
  <c r="L94"/>
  <c r="N94"/>
  <c r="P94"/>
  <c r="S94"/>
  <c r="J95"/>
  <c r="U95" s="1"/>
  <c r="L95"/>
  <c r="N95"/>
  <c r="P95"/>
  <c r="S95"/>
  <c r="S92"/>
  <c r="P92"/>
  <c r="N92"/>
  <c r="J92"/>
  <c r="L92"/>
  <c r="P91"/>
  <c r="N91"/>
  <c r="S91"/>
  <c r="J91"/>
  <c r="L91"/>
  <c r="J87"/>
  <c r="K87"/>
  <c r="U87" s="1"/>
  <c r="Q87"/>
  <c r="J88"/>
  <c r="U88" s="1"/>
  <c r="K88"/>
  <c r="Q88"/>
  <c r="J89"/>
  <c r="K89"/>
  <c r="Q89"/>
  <c r="J90"/>
  <c r="U90" s="1"/>
  <c r="K90"/>
  <c r="Q90"/>
  <c r="Q86"/>
  <c r="K86"/>
  <c r="J86"/>
  <c r="K85"/>
  <c r="L85"/>
  <c r="U85" s="1"/>
  <c r="N85"/>
  <c r="R85"/>
  <c r="S85"/>
  <c r="R84"/>
  <c r="S84"/>
  <c r="N84"/>
  <c r="L84"/>
  <c r="K84"/>
  <c r="K81"/>
  <c r="L81"/>
  <c r="N81"/>
  <c r="P81"/>
  <c r="R81"/>
  <c r="S81"/>
  <c r="K82"/>
  <c r="L82"/>
  <c r="N82"/>
  <c r="P82"/>
  <c r="R82"/>
  <c r="S82"/>
  <c r="K83"/>
  <c r="L83"/>
  <c r="U83" s="1"/>
  <c r="N83"/>
  <c r="P83"/>
  <c r="R83"/>
  <c r="S83"/>
  <c r="R80"/>
  <c r="P80"/>
  <c r="S80"/>
  <c r="N80"/>
  <c r="L80"/>
  <c r="K80"/>
  <c r="J79"/>
  <c r="K79"/>
  <c r="N79"/>
  <c r="U79" s="1"/>
  <c r="S79"/>
  <c r="S78"/>
  <c r="N78"/>
  <c r="K78"/>
  <c r="J78"/>
  <c r="J75"/>
  <c r="L75"/>
  <c r="N75"/>
  <c r="S75"/>
  <c r="J76"/>
  <c r="L76"/>
  <c r="N76"/>
  <c r="S76"/>
  <c r="U76" s="1"/>
  <c r="J77"/>
  <c r="U77" s="1"/>
  <c r="L77"/>
  <c r="N77"/>
  <c r="S77"/>
  <c r="S74"/>
  <c r="N74"/>
  <c r="L74"/>
  <c r="J74"/>
  <c r="J73"/>
  <c r="L73"/>
  <c r="U73" s="1"/>
  <c r="N73"/>
  <c r="J69"/>
  <c r="L69"/>
  <c r="N69"/>
  <c r="U69" s="1"/>
  <c r="J70"/>
  <c r="L70"/>
  <c r="N70"/>
  <c r="U70" s="1"/>
  <c r="J71"/>
  <c r="U71" s="1"/>
  <c r="L71"/>
  <c r="N71"/>
  <c r="J72"/>
  <c r="L72"/>
  <c r="U72" s="1"/>
  <c r="N72"/>
  <c r="N68"/>
  <c r="U68" s="1"/>
  <c r="L68"/>
  <c r="J68"/>
  <c r="K64"/>
  <c r="U64" s="1"/>
  <c r="L64"/>
  <c r="N64"/>
  <c r="P64"/>
  <c r="S64"/>
  <c r="T64"/>
  <c r="K65"/>
  <c r="L65"/>
  <c r="N65"/>
  <c r="P65"/>
  <c r="S65"/>
  <c r="T65"/>
  <c r="K66"/>
  <c r="L66"/>
  <c r="N66"/>
  <c r="U66" s="1"/>
  <c r="P66"/>
  <c r="S66"/>
  <c r="T66"/>
  <c r="K67"/>
  <c r="U67" s="1"/>
  <c r="L67"/>
  <c r="N67"/>
  <c r="P67"/>
  <c r="S67"/>
  <c r="T67"/>
  <c r="P63"/>
  <c r="T63"/>
  <c r="S63"/>
  <c r="N63"/>
  <c r="L63"/>
  <c r="K63"/>
  <c r="K59"/>
  <c r="L59"/>
  <c r="U59" s="1"/>
  <c r="N59"/>
  <c r="P59"/>
  <c r="S59"/>
  <c r="T59"/>
  <c r="K60"/>
  <c r="U60" s="1"/>
  <c r="L60"/>
  <c r="N60"/>
  <c r="P60"/>
  <c r="S60"/>
  <c r="T60"/>
  <c r="K61"/>
  <c r="U61" s="1"/>
  <c r="L61"/>
  <c r="N61"/>
  <c r="P61"/>
  <c r="S61"/>
  <c r="T61"/>
  <c r="K62"/>
  <c r="L62"/>
  <c r="N62"/>
  <c r="U62" s="1"/>
  <c r="P62"/>
  <c r="S62"/>
  <c r="T62"/>
  <c r="T58"/>
  <c r="S58"/>
  <c r="P58"/>
  <c r="R54"/>
  <c r="R55"/>
  <c r="R56"/>
  <c r="J54"/>
  <c r="K54"/>
  <c r="N54"/>
  <c r="J55"/>
  <c r="K55"/>
  <c r="N55"/>
  <c r="J56"/>
  <c r="U56" s="1"/>
  <c r="K56"/>
  <c r="N56"/>
  <c r="J57"/>
  <c r="K49"/>
  <c r="L49"/>
  <c r="N49"/>
  <c r="Q49"/>
  <c r="K50"/>
  <c r="L50"/>
  <c r="N50"/>
  <c r="Q50"/>
  <c r="K51"/>
  <c r="L51"/>
  <c r="N51"/>
  <c r="Q51"/>
  <c r="Q52"/>
  <c r="J44"/>
  <c r="L44"/>
  <c r="N44"/>
  <c r="Q44"/>
  <c r="J45"/>
  <c r="L45"/>
  <c r="N45"/>
  <c r="Q45"/>
  <c r="J46"/>
  <c r="L46"/>
  <c r="N46"/>
  <c r="Q46"/>
  <c r="N42"/>
  <c r="P42"/>
  <c r="J38"/>
  <c r="L38"/>
  <c r="N38"/>
  <c r="P38"/>
  <c r="T38"/>
  <c r="J39"/>
  <c r="L39"/>
  <c r="N39"/>
  <c r="P39"/>
  <c r="T39"/>
  <c r="T40"/>
  <c r="N37"/>
  <c r="J35"/>
  <c r="L35"/>
  <c r="N35"/>
  <c r="O35"/>
  <c r="P35"/>
  <c r="T35"/>
  <c r="J36"/>
  <c r="O36"/>
  <c r="J33"/>
  <c r="J26"/>
  <c r="L26"/>
  <c r="N26"/>
  <c r="O26"/>
  <c r="T26"/>
  <c r="J27"/>
  <c r="L27"/>
  <c r="N27"/>
  <c r="O27"/>
  <c r="T27"/>
  <c r="T25"/>
  <c r="J21"/>
  <c r="N21"/>
  <c r="T19"/>
  <c r="U19" s="1"/>
  <c r="J17"/>
  <c r="L17"/>
  <c r="M17"/>
  <c r="N17"/>
  <c r="P17"/>
  <c r="J14"/>
  <c r="L14"/>
  <c r="U14" s="1"/>
  <c r="M14"/>
  <c r="P14"/>
  <c r="P15"/>
  <c r="J11"/>
  <c r="K11"/>
  <c r="N11"/>
  <c r="O11"/>
  <c r="T11"/>
  <c r="J12"/>
  <c r="N12"/>
  <c r="O10"/>
  <c r="T9"/>
  <c r="U9" s="1"/>
  <c r="J8"/>
  <c r="K8"/>
  <c r="M8"/>
  <c r="N8"/>
  <c r="O8"/>
  <c r="U17"/>
  <c r="U65"/>
  <c r="U75"/>
  <c r="U81"/>
  <c r="U89"/>
  <c r="U92"/>
  <c r="U96"/>
  <c r="I92"/>
  <c r="I91"/>
  <c r="I85"/>
  <c r="I84"/>
  <c r="I83"/>
  <c r="I80"/>
  <c r="I67"/>
  <c r="I63"/>
  <c r="I62"/>
  <c r="I58"/>
  <c r="L58" s="1"/>
  <c r="I52"/>
  <c r="N52" s="1"/>
  <c r="I48"/>
  <c r="N48" s="1"/>
  <c r="I47"/>
  <c r="N47" s="1"/>
  <c r="I43"/>
  <c r="L43" s="1"/>
  <c r="I42"/>
  <c r="L42" s="1"/>
  <c r="I41"/>
  <c r="J41" s="1"/>
  <c r="I40"/>
  <c r="N40" s="1"/>
  <c r="I37"/>
  <c r="T37" s="1"/>
  <c r="I36"/>
  <c r="T36" s="1"/>
  <c r="I34"/>
  <c r="L34" s="1"/>
  <c r="I29"/>
  <c r="T29" s="1"/>
  <c r="U29" s="1"/>
  <c r="I28"/>
  <c r="T28" s="1"/>
  <c r="I25"/>
  <c r="J25" s="1"/>
  <c r="I24"/>
  <c r="L24" s="1"/>
  <c r="U24" s="1"/>
  <c r="I23"/>
  <c r="T23" s="1"/>
  <c r="U23" s="1"/>
  <c r="I22"/>
  <c r="T22" s="1"/>
  <c r="U22" s="1"/>
  <c r="I21"/>
  <c r="P21" s="1"/>
  <c r="I19"/>
  <c r="I18"/>
  <c r="P18" s="1"/>
  <c r="I16"/>
  <c r="P16" s="1"/>
  <c r="I15"/>
  <c r="L15" s="1"/>
  <c r="I13"/>
  <c r="J13" s="1"/>
  <c r="J3"/>
  <c r="U3" s="1"/>
  <c r="N3"/>
  <c r="N2"/>
  <c r="J2"/>
  <c r="U2" s="1"/>
  <c r="I90"/>
  <c r="I86"/>
  <c r="I79"/>
  <c r="I78"/>
  <c r="I77"/>
  <c r="I74"/>
  <c r="I73"/>
  <c r="I69"/>
  <c r="I68"/>
  <c r="I57"/>
  <c r="N57" s="1"/>
  <c r="I53"/>
  <c r="K53" s="1"/>
  <c r="I33"/>
  <c r="N33" s="1"/>
  <c r="I32"/>
  <c r="J32" s="1"/>
  <c r="I31"/>
  <c r="L31" s="1"/>
  <c r="I30"/>
  <c r="J30" s="1"/>
  <c r="I20"/>
  <c r="N20" s="1"/>
  <c r="I12"/>
  <c r="T12" s="1"/>
  <c r="I10"/>
  <c r="J10" s="1"/>
  <c r="I7"/>
  <c r="J7" s="1"/>
  <c r="I6"/>
  <c r="J6" s="1"/>
  <c r="I5"/>
  <c r="J5" s="1"/>
  <c r="I4"/>
  <c r="N4" s="1"/>
  <c r="E66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3"/>
  <c r="U82" i="1" l="1"/>
  <c r="U91"/>
  <c r="U86"/>
  <c r="U84"/>
  <c r="U80"/>
  <c r="U78"/>
  <c r="U74"/>
  <c r="U63"/>
  <c r="U27"/>
  <c r="O33"/>
  <c r="Q48"/>
  <c r="U54"/>
  <c r="T33"/>
  <c r="P37"/>
  <c r="P41"/>
  <c r="U41" s="1"/>
  <c r="K48"/>
  <c r="J53"/>
  <c r="M7"/>
  <c r="M15"/>
  <c r="L21"/>
  <c r="N31"/>
  <c r="T34"/>
  <c r="U38"/>
  <c r="L48"/>
  <c r="U55"/>
  <c r="R53"/>
  <c r="N7"/>
  <c r="N34"/>
  <c r="U33"/>
  <c r="T6"/>
  <c r="U6" s="1"/>
  <c r="M13"/>
  <c r="U13" s="1"/>
  <c r="P20"/>
  <c r="O34"/>
  <c r="J40"/>
  <c r="U40" s="1"/>
  <c r="O12"/>
  <c r="L13"/>
  <c r="J16"/>
  <c r="L20"/>
  <c r="U20" s="1"/>
  <c r="P34"/>
  <c r="U34" s="1"/>
  <c r="L40"/>
  <c r="T10"/>
  <c r="J20"/>
  <c r="O25"/>
  <c r="J34"/>
  <c r="U35"/>
  <c r="P40"/>
  <c r="K52"/>
  <c r="R57"/>
  <c r="J18"/>
  <c r="L18"/>
  <c r="Q47"/>
  <c r="K57"/>
  <c r="N10"/>
  <c r="M18"/>
  <c r="N25"/>
  <c r="U26"/>
  <c r="P31"/>
  <c r="T32"/>
  <c r="L37"/>
  <c r="T42"/>
  <c r="Q43"/>
  <c r="K7"/>
  <c r="O7"/>
  <c r="K10"/>
  <c r="U10" s="1"/>
  <c r="P13"/>
  <c r="N18"/>
  <c r="O21"/>
  <c r="L25"/>
  <c r="U25" s="1"/>
  <c r="J28"/>
  <c r="O30"/>
  <c r="N32"/>
  <c r="L36"/>
  <c r="J37"/>
  <c r="N41"/>
  <c r="N43"/>
  <c r="U46"/>
  <c r="U44"/>
  <c r="L52"/>
  <c r="U52" s="1"/>
  <c r="U50"/>
  <c r="N53"/>
  <c r="K12"/>
  <c r="U12" s="1"/>
  <c r="L28"/>
  <c r="N30"/>
  <c r="O32"/>
  <c r="U32" s="1"/>
  <c r="N36"/>
  <c r="U36" s="1"/>
  <c r="T41"/>
  <c r="J43"/>
  <c r="N58"/>
  <c r="O31"/>
  <c r="U21"/>
  <c r="J4"/>
  <c r="U4" s="1"/>
  <c r="L16"/>
  <c r="U16" s="1"/>
  <c r="M16"/>
  <c r="N28"/>
  <c r="P30"/>
  <c r="U39"/>
  <c r="K58"/>
  <c r="T5"/>
  <c r="U5" s="1"/>
  <c r="J15"/>
  <c r="U15" s="1"/>
  <c r="N16"/>
  <c r="O20"/>
  <c r="O28"/>
  <c r="L30"/>
  <c r="J31"/>
  <c r="P36"/>
  <c r="L41"/>
  <c r="J42"/>
  <c r="J47"/>
  <c r="U8"/>
  <c r="U11"/>
  <c r="L47"/>
  <c r="U45"/>
  <c r="U51"/>
  <c r="U49"/>
  <c r="U53"/>
  <c r="U48"/>
  <c r="U43" l="1"/>
  <c r="U30"/>
  <c r="U37"/>
  <c r="U58"/>
  <c r="U57"/>
  <c r="U31"/>
  <c r="U42"/>
  <c r="U47"/>
  <c r="U7"/>
  <c r="U28"/>
  <c r="U18"/>
</calcChain>
</file>

<file path=xl/sharedStrings.xml><?xml version="1.0" encoding="utf-8"?>
<sst xmlns="http://schemas.openxmlformats.org/spreadsheetml/2006/main" count="431" uniqueCount="90">
  <si>
    <t>Hallitus</t>
  </si>
  <si>
    <t>52. Aura</t>
  </si>
  <si>
    <t>53. Karjalainen II</t>
  </si>
  <si>
    <t>54. Aura II</t>
  </si>
  <si>
    <t>55. Paasio II</t>
  </si>
  <si>
    <t>56. Sorsa</t>
  </si>
  <si>
    <t>57. Liinamaa</t>
  </si>
  <si>
    <t>58. Miettunen II</t>
  </si>
  <si>
    <t>59. Miettunen III</t>
  </si>
  <si>
    <t>60. Sorsa II</t>
  </si>
  <si>
    <t>51. Koivisto</t>
  </si>
  <si>
    <t>22.3.1968 - 14.5.1970</t>
  </si>
  <si>
    <t>SDP</t>
  </si>
  <si>
    <t>Enemmistö</t>
  </si>
  <si>
    <t>14.5.1970 - 15.7.1970</t>
  </si>
  <si>
    <t>ammatti/virkamies</t>
  </si>
  <si>
    <t>Virkamies</t>
  </si>
  <si>
    <t>15.7.1970 - 29.10.1971</t>
  </si>
  <si>
    <t>Keskusta</t>
  </si>
  <si>
    <t>29.10.1971 - 23.2.1972</t>
  </si>
  <si>
    <t>23.2.1972 - 4.9.1972</t>
  </si>
  <si>
    <t>Vähemmistö</t>
  </si>
  <si>
    <t>4.9.1972 - 13.6.1975</t>
  </si>
  <si>
    <t>13.6.1975 - 30.11.1975</t>
  </si>
  <si>
    <t>30.11.1975 - 29.9.1976</t>
  </si>
  <si>
    <t>29.9.1976 - 15.5.1977</t>
  </si>
  <si>
    <t>15.5.1977 - 26.5.1979</t>
  </si>
  <si>
    <t>61. Koivisto II</t>
  </si>
  <si>
    <t>26.5.1979 - 19.2.1982</t>
  </si>
  <si>
    <t>62. Sorsa III</t>
  </si>
  <si>
    <t>19.2.1982 - 6.5.1983</t>
  </si>
  <si>
    <t>63. Sorsa IV</t>
  </si>
  <si>
    <t>6.5.1983 - 30.4.1987</t>
  </si>
  <si>
    <t>64. Holkeri</t>
  </si>
  <si>
    <t>30.4.1987 - 26.4.1991</t>
  </si>
  <si>
    <t>Kokoomus</t>
  </si>
  <si>
    <t>65. Aho</t>
  </si>
  <si>
    <t>26.4.1991 - 13.4.1995</t>
  </si>
  <si>
    <t>66. Lipponen</t>
  </si>
  <si>
    <t>13.4.1995 - 15.4.1999</t>
  </si>
  <si>
    <t>67. Lipponen II</t>
  </si>
  <si>
    <t>15.4.1999 - 17.4.2003</t>
  </si>
  <si>
    <t>68. Jäätteenmäki</t>
  </si>
  <si>
    <t>17.4.2003 - 24.6.2003</t>
  </si>
  <si>
    <t>69. Vanhanen</t>
  </si>
  <si>
    <t>24.6.2003 - 19.4.2007</t>
  </si>
  <si>
    <t>70. Vanhanen II</t>
  </si>
  <si>
    <t>19.4.2007 - 22.6.2010</t>
  </si>
  <si>
    <t>71. Kiviniemi</t>
  </si>
  <si>
    <t>22.6.2010 - 22.6.2011</t>
  </si>
  <si>
    <t>72. Katainen</t>
  </si>
  <si>
    <t>22.6.2011 - 24.6.2014</t>
  </si>
  <si>
    <t>73. Stubb</t>
  </si>
  <si>
    <t>24.6.2014 - 29.5.2015</t>
  </si>
  <si>
    <t>74. Sipilä</t>
  </si>
  <si>
    <t>29.5.2015 - 6.6.2019</t>
  </si>
  <si>
    <t>75. Rinne</t>
  </si>
  <si>
    <t>6.6.2019 - 10.12.2019</t>
  </si>
  <si>
    <t>76. Marin</t>
  </si>
  <si>
    <t>10.12.2019 -</t>
  </si>
  <si>
    <t>Aika</t>
  </si>
  <si>
    <t>Hallituspäivät</t>
  </si>
  <si>
    <t>Pääministeripuolue</t>
  </si>
  <si>
    <t>Hallitustyyppi</t>
  </si>
  <si>
    <t>kk/vuosi</t>
  </si>
  <si>
    <t>50. Paasio</t>
  </si>
  <si>
    <t>45. Sukselainen II</t>
  </si>
  <si>
    <t>Vuosi</t>
  </si>
  <si>
    <t>46. Miettunen</t>
  </si>
  <si>
    <t>47. Karjalainen</t>
  </si>
  <si>
    <t>Maalaisliitto</t>
  </si>
  <si>
    <t>Pääministeri puolue</t>
  </si>
  <si>
    <t>Tyyppi</t>
  </si>
  <si>
    <t>48. Lehto</t>
  </si>
  <si>
    <t>49. Virolainen</t>
  </si>
  <si>
    <t>vuosi</t>
  </si>
  <si>
    <t>Velka (miljoonaa euroa)</t>
  </si>
  <si>
    <t>Velka(M)/vuosi</t>
  </si>
  <si>
    <t>RKP</t>
  </si>
  <si>
    <t>Vuosittain</t>
  </si>
  <si>
    <t>KP</t>
  </si>
  <si>
    <t>TPSL</t>
  </si>
  <si>
    <t>Sum</t>
  </si>
  <si>
    <t>SMP/PerusS</t>
  </si>
  <si>
    <t>SKDL/Vas</t>
  </si>
  <si>
    <t>Vihreät</t>
  </si>
  <si>
    <t>KristLiitto</t>
  </si>
  <si>
    <t>PerusS</t>
  </si>
  <si>
    <t>KristillisD</t>
  </si>
  <si>
    <t>VasemmistoL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</si>
</sst>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.6"/>
      <color rgb="FF0F0F0F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9"/>
        <bgColor indexed="64"/>
      </patternFill>
    </fill>
  </fills>
  <borders count="18">
    <border>
      <left/>
      <right/>
      <top/>
      <bottom/>
      <diagonal/>
    </border>
    <border>
      <left style="medium">
        <color rgb="FFBBC9D6"/>
      </left>
      <right style="medium">
        <color rgb="FFBBC9D6"/>
      </right>
      <top style="medium">
        <color rgb="FFBBC9D6"/>
      </top>
      <bottom style="medium">
        <color rgb="FFBBC9D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/>
      <right/>
      <top style="thick">
        <color rgb="FF365ABD"/>
      </top>
      <bottom style="medium">
        <color rgb="FFDEE2E6"/>
      </bottom>
      <diagonal/>
    </border>
    <border>
      <left/>
      <right style="medium">
        <color rgb="FFE5E5E5"/>
      </right>
      <top style="thick">
        <color rgb="FF365ABD"/>
      </top>
      <bottom style="medium">
        <color rgb="FFDEE2E6"/>
      </bottom>
      <diagonal/>
    </border>
    <border>
      <left/>
      <right style="medium">
        <color rgb="FFE5E5E5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E5E5E5"/>
      </bottom>
      <diagonal/>
    </border>
    <border>
      <left/>
      <right style="medium">
        <color rgb="FFE5E5E5"/>
      </right>
      <top/>
      <bottom style="medium">
        <color rgb="FFE5E5E5"/>
      </bottom>
      <diagonal/>
    </border>
    <border>
      <left style="medium">
        <color rgb="FFE5E5E5"/>
      </left>
      <right style="thin">
        <color indexed="64"/>
      </right>
      <top style="thick">
        <color rgb="FF365ABD"/>
      </top>
      <bottom style="medium">
        <color rgb="FFDEE2E6"/>
      </bottom>
      <diagonal/>
    </border>
    <border>
      <left style="medium">
        <color rgb="FFE5E5E5"/>
      </left>
      <right style="thin">
        <color indexed="64"/>
      </right>
      <top style="medium">
        <color rgb="FFDEE2E6"/>
      </top>
      <bottom style="medium">
        <color rgb="FFDEE2E6"/>
      </bottom>
      <diagonal/>
    </border>
    <border>
      <left style="medium">
        <color rgb="FFE5E5E5"/>
      </left>
      <right style="thin">
        <color indexed="64"/>
      </right>
      <top style="medium">
        <color rgb="FFDEE2E6"/>
      </top>
      <bottom style="medium">
        <color rgb="FFE5E5E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365ABD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medium">
        <color rgb="FFE5E5E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BBC9D6"/>
      </left>
      <right style="medium">
        <color rgb="FFBBC9D6"/>
      </right>
      <top/>
      <bottom/>
      <diagonal/>
    </border>
    <border>
      <left style="medium">
        <color rgb="FFBBC9D6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1" applyAlignment="1" applyProtection="1"/>
    <xf numFmtId="0" fontId="3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0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2" borderId="7" xfId="0" applyFill="1" applyBorder="1"/>
    <xf numFmtId="0" fontId="1" fillId="2" borderId="8" xfId="1" applyFill="1" applyBorder="1" applyAlignment="1" applyProtection="1">
      <alignment vertical="center" wrapText="1"/>
    </xf>
    <xf numFmtId="0" fontId="1" fillId="2" borderId="9" xfId="1" applyFill="1" applyBorder="1" applyAlignment="1" applyProtection="1">
      <alignment vertical="center" wrapText="1"/>
    </xf>
    <xf numFmtId="0" fontId="1" fillId="2" borderId="10" xfId="1" applyFill="1" applyBorder="1" applyAlignment="1" applyProtection="1">
      <alignment vertical="center" wrapText="1"/>
    </xf>
    <xf numFmtId="0" fontId="0" fillId="0" borderId="11" xfId="0" applyBorder="1"/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0" fillId="0" borderId="15" xfId="0" applyBorder="1"/>
    <xf numFmtId="49" fontId="4" fillId="2" borderId="3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0" fillId="0" borderId="0" xfId="0" applyNumberFormat="1"/>
    <xf numFmtId="49" fontId="4" fillId="2" borderId="6" xfId="0" applyNumberFormat="1" applyFont="1" applyFill="1" applyBorder="1" applyAlignment="1">
      <alignment vertical="center" wrapText="1"/>
    </xf>
    <xf numFmtId="0" fontId="0" fillId="0" borderId="11" xfId="0" applyFill="1" applyBorder="1"/>
    <xf numFmtId="0" fontId="5" fillId="0" borderId="0" xfId="0" applyFont="1"/>
    <xf numFmtId="0" fontId="3" fillId="0" borderId="0" xfId="0" applyFont="1"/>
    <xf numFmtId="0" fontId="3" fillId="3" borderId="16" xfId="0" applyFont="1" applyFill="1" applyBorder="1" applyAlignment="1">
      <alignment wrapText="1"/>
    </xf>
    <xf numFmtId="3" fontId="2" fillId="2" borderId="17" xfId="0" applyNumberFormat="1" applyFont="1" applyFill="1" applyBorder="1" applyAlignment="1">
      <alignment wrapText="1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>
        <c:manualLayout>
          <c:layoutTarget val="inner"/>
          <c:xMode val="edge"/>
          <c:yMode val="edge"/>
          <c:x val="5.2168206528363521E-2"/>
          <c:y val="2.5519747039494087E-2"/>
          <c:w val="0.8191987518588042"/>
          <c:h val="0.93006286812573602"/>
        </c:manualLayout>
      </c:layout>
      <c:lineChart>
        <c:grouping val="standard"/>
        <c:ser>
          <c:idx val="0"/>
          <c:order val="0"/>
          <c:tx>
            <c:strRef>
              <c:f>Yhteenveto!$X$1</c:f>
              <c:strCache>
                <c:ptCount val="1"/>
                <c:pt idx="0">
                  <c:v>Keskusta</c:v>
                </c:pt>
              </c:strCache>
            </c:strRef>
          </c:tx>
          <c:marker>
            <c:symbol val="none"/>
          </c:marker>
          <c:dLbls>
            <c:dLbl>
              <c:idx val="67"/>
              <c:layout>
                <c:manualLayout>
                  <c:x val="-1.6099071207430343E-2"/>
                  <c:y val="-1.8897637795275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43362,5</a:t>
                    </a:r>
                  </a:p>
                </c:rich>
              </c:tx>
              <c:showVal val="1"/>
            </c:dLbl>
            <c:delete val="1"/>
          </c:dLbls>
          <c:cat>
            <c:numRef>
              <c:f>Yhteenveto!$W$28:$W$96</c:f>
              <c:numCache>
                <c:formatCode>General</c:formatCode>
                <c:ptCount val="69"/>
                <c:pt idx="0">
                  <c:v>1975</c:v>
                </c:pt>
                <c:pt idx="1">
                  <c:v>1975</c:v>
                </c:pt>
                <c:pt idx="2">
                  <c:v>1975</c:v>
                </c:pt>
                <c:pt idx="3">
                  <c:v>1976</c:v>
                </c:pt>
                <c:pt idx="4">
                  <c:v>1976</c:v>
                </c:pt>
                <c:pt idx="5">
                  <c:v>1977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1982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2010</c:v>
                </c:pt>
                <c:pt idx="51">
                  <c:v>2011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2014</c:v>
                </c:pt>
                <c:pt idx="57">
                  <c:v>2015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2019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Yhteenveto!$X$28:$X$96</c:f>
              <c:numCache>
                <c:formatCode>General</c:formatCode>
                <c:ptCount val="69"/>
                <c:pt idx="0">
                  <c:v>103.55798611111112</c:v>
                </c:pt>
                <c:pt idx="1">
                  <c:v>103.55798611111112</c:v>
                </c:pt>
                <c:pt idx="2">
                  <c:v>106.57881944444445</c:v>
                </c:pt>
                <c:pt idx="3">
                  <c:v>140.70381944444443</c:v>
                </c:pt>
                <c:pt idx="4">
                  <c:v>166.29756944444443</c:v>
                </c:pt>
                <c:pt idx="5">
                  <c:v>233.42256944444443</c:v>
                </c:pt>
                <c:pt idx="6">
                  <c:v>312.97812499999998</c:v>
                </c:pt>
                <c:pt idx="7">
                  <c:v>617.97812499999998</c:v>
                </c:pt>
                <c:pt idx="8">
                  <c:v>687.97812499999998</c:v>
                </c:pt>
                <c:pt idx="9">
                  <c:v>791.74283088235291</c:v>
                </c:pt>
                <c:pt idx="10">
                  <c:v>956.56636029411766</c:v>
                </c:pt>
                <c:pt idx="11">
                  <c:v>1201.8604779411764</c:v>
                </c:pt>
                <c:pt idx="12">
                  <c:v>1282.448713235294</c:v>
                </c:pt>
                <c:pt idx="13">
                  <c:v>1685.3898897058823</c:v>
                </c:pt>
                <c:pt idx="14">
                  <c:v>1841.2722426470586</c:v>
                </c:pt>
                <c:pt idx="15">
                  <c:v>2101.0761642156863</c:v>
                </c:pt>
                <c:pt idx="16">
                  <c:v>2404.8996936274511</c:v>
                </c:pt>
                <c:pt idx="17">
                  <c:v>2539.3114583333336</c:v>
                </c:pt>
                <c:pt idx="18">
                  <c:v>2787.2526348039219</c:v>
                </c:pt>
                <c:pt idx="19">
                  <c:v>2894.7036151960788</c:v>
                </c:pt>
                <c:pt idx="20">
                  <c:v>2894.7036151960788</c:v>
                </c:pt>
                <c:pt idx="21">
                  <c:v>2894.7036151960788</c:v>
                </c:pt>
                <c:pt idx="22">
                  <c:v>2894.7036151960788</c:v>
                </c:pt>
                <c:pt idx="23">
                  <c:v>2894.7036151960788</c:v>
                </c:pt>
                <c:pt idx="24">
                  <c:v>2894.7036151960788</c:v>
                </c:pt>
                <c:pt idx="25">
                  <c:v>4341.2918504901963</c:v>
                </c:pt>
                <c:pt idx="26">
                  <c:v>10762.468321078431</c:v>
                </c:pt>
                <c:pt idx="27">
                  <c:v>17906.468321078431</c:v>
                </c:pt>
                <c:pt idx="28">
                  <c:v>21996.821262254904</c:v>
                </c:pt>
                <c:pt idx="29">
                  <c:v>22984.938909313729</c:v>
                </c:pt>
                <c:pt idx="30">
                  <c:v>22984.938909313729</c:v>
                </c:pt>
                <c:pt idx="31">
                  <c:v>22984.938909313729</c:v>
                </c:pt>
                <c:pt idx="32">
                  <c:v>22984.938909313729</c:v>
                </c:pt>
                <c:pt idx="33">
                  <c:v>22984.938909313729</c:v>
                </c:pt>
                <c:pt idx="34">
                  <c:v>22984.938909313729</c:v>
                </c:pt>
                <c:pt idx="35">
                  <c:v>22984.938909313729</c:v>
                </c:pt>
                <c:pt idx="36">
                  <c:v>22984.938909313729</c:v>
                </c:pt>
                <c:pt idx="37">
                  <c:v>22984.938909313729</c:v>
                </c:pt>
                <c:pt idx="38">
                  <c:v>22984.938909313729</c:v>
                </c:pt>
                <c:pt idx="39">
                  <c:v>22984.938909313729</c:v>
                </c:pt>
                <c:pt idx="40">
                  <c:v>23286.198168572988</c:v>
                </c:pt>
                <c:pt idx="41">
                  <c:v>24189.975946350765</c:v>
                </c:pt>
                <c:pt idx="42">
                  <c:v>24397.975946350765</c:v>
                </c:pt>
                <c:pt idx="43">
                  <c:v>22733.975946350765</c:v>
                </c:pt>
                <c:pt idx="44">
                  <c:v>22227.309279684097</c:v>
                </c:pt>
                <c:pt idx="45">
                  <c:v>21807.161131535948</c:v>
                </c:pt>
                <c:pt idx="46">
                  <c:v>21050.894464869281</c:v>
                </c:pt>
                <c:pt idx="47">
                  <c:v>20376.49446486928</c:v>
                </c:pt>
                <c:pt idx="48">
                  <c:v>24336.094464869282</c:v>
                </c:pt>
                <c:pt idx="49">
                  <c:v>26510.294464869283</c:v>
                </c:pt>
                <c:pt idx="50">
                  <c:v>28684.494464869284</c:v>
                </c:pt>
                <c:pt idx="51">
                  <c:v>29586.294464869283</c:v>
                </c:pt>
                <c:pt idx="52">
                  <c:v>29586.294464869283</c:v>
                </c:pt>
                <c:pt idx="53">
                  <c:v>29586.294464869283</c:v>
                </c:pt>
                <c:pt idx="54">
                  <c:v>29586.294464869283</c:v>
                </c:pt>
                <c:pt idx="55">
                  <c:v>29586.294464869283</c:v>
                </c:pt>
                <c:pt idx="56">
                  <c:v>29586.294464869283</c:v>
                </c:pt>
                <c:pt idx="57">
                  <c:v>29586.294464869283</c:v>
                </c:pt>
                <c:pt idx="58">
                  <c:v>30755.794464869283</c:v>
                </c:pt>
                <c:pt idx="59">
                  <c:v>31846.508750583569</c:v>
                </c:pt>
                <c:pt idx="60">
                  <c:v>33312.651607726424</c:v>
                </c:pt>
                <c:pt idx="61">
                  <c:v>32969.794464869279</c:v>
                </c:pt>
                <c:pt idx="62">
                  <c:v>33218.901607726424</c:v>
                </c:pt>
                <c:pt idx="63">
                  <c:v>33402.454239305371</c:v>
                </c:pt>
                <c:pt idx="64">
                  <c:v>33433.046344568531</c:v>
                </c:pt>
                <c:pt idx="65">
                  <c:v>38292.256870884317</c:v>
                </c:pt>
                <c:pt idx="66">
                  <c:v>39308.835818252737</c:v>
                </c:pt>
                <c:pt idx="67">
                  <c:v>43362.52002877905</c:v>
                </c:pt>
                <c:pt idx="68">
                  <c:v>43362.52002877905</c:v>
                </c:pt>
              </c:numCache>
            </c:numRef>
          </c:val>
        </c:ser>
        <c:ser>
          <c:idx val="1"/>
          <c:order val="1"/>
          <c:tx>
            <c:strRef>
              <c:f>Yhteenveto!$Y$1</c:f>
              <c:strCache>
                <c:ptCount val="1"/>
                <c:pt idx="0">
                  <c:v>Kokoomus</c:v>
                </c:pt>
              </c:strCache>
            </c:strRef>
          </c:tx>
          <c:marker>
            <c:symbol val="none"/>
          </c:marker>
          <c:dLbls>
            <c:dLbl>
              <c:idx val="68"/>
              <c:layout>
                <c:manualLayout>
                  <c:x val="-2.7244582043343655E-2"/>
                  <c:y val="2.20472440944881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29197,2</a:t>
                    </a:r>
                  </a:p>
                </c:rich>
              </c:tx>
              <c:showVal val="1"/>
            </c:dLbl>
            <c:delete val="1"/>
          </c:dLbls>
          <c:cat>
            <c:numRef>
              <c:f>Yhteenveto!$W$28:$W$96</c:f>
              <c:numCache>
                <c:formatCode>General</c:formatCode>
                <c:ptCount val="69"/>
                <c:pt idx="0">
                  <c:v>1975</c:v>
                </c:pt>
                <c:pt idx="1">
                  <c:v>1975</c:v>
                </c:pt>
                <c:pt idx="2">
                  <c:v>1975</c:v>
                </c:pt>
                <c:pt idx="3">
                  <c:v>1976</c:v>
                </c:pt>
                <c:pt idx="4">
                  <c:v>1976</c:v>
                </c:pt>
                <c:pt idx="5">
                  <c:v>1977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1982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2010</c:v>
                </c:pt>
                <c:pt idx="51">
                  <c:v>2011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2014</c:v>
                </c:pt>
                <c:pt idx="57">
                  <c:v>2015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2019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Yhteenveto!$Y$28:$Y$96</c:f>
              <c:numCache>
                <c:formatCode>General</c:formatCode>
                <c:ptCount val="69"/>
                <c:pt idx="0">
                  <c:v>54.550000000000004</c:v>
                </c:pt>
                <c:pt idx="1">
                  <c:v>54.550000000000004</c:v>
                </c:pt>
                <c:pt idx="2">
                  <c:v>54.550000000000004</c:v>
                </c:pt>
                <c:pt idx="3">
                  <c:v>54.550000000000004</c:v>
                </c:pt>
                <c:pt idx="4">
                  <c:v>54.550000000000004</c:v>
                </c:pt>
                <c:pt idx="5">
                  <c:v>54.550000000000004</c:v>
                </c:pt>
                <c:pt idx="6">
                  <c:v>54.550000000000004</c:v>
                </c:pt>
                <c:pt idx="7">
                  <c:v>54.550000000000004</c:v>
                </c:pt>
                <c:pt idx="8">
                  <c:v>54.550000000000004</c:v>
                </c:pt>
                <c:pt idx="9">
                  <c:v>54.550000000000004</c:v>
                </c:pt>
                <c:pt idx="10">
                  <c:v>54.550000000000004</c:v>
                </c:pt>
                <c:pt idx="11">
                  <c:v>54.550000000000004</c:v>
                </c:pt>
                <c:pt idx="12">
                  <c:v>54.550000000000004</c:v>
                </c:pt>
                <c:pt idx="13">
                  <c:v>54.550000000000004</c:v>
                </c:pt>
                <c:pt idx="14">
                  <c:v>54.550000000000004</c:v>
                </c:pt>
                <c:pt idx="15">
                  <c:v>54.550000000000004</c:v>
                </c:pt>
                <c:pt idx="16">
                  <c:v>54.550000000000004</c:v>
                </c:pt>
                <c:pt idx="17">
                  <c:v>54.550000000000004</c:v>
                </c:pt>
                <c:pt idx="18">
                  <c:v>54.550000000000004</c:v>
                </c:pt>
                <c:pt idx="19">
                  <c:v>54.550000000000004</c:v>
                </c:pt>
                <c:pt idx="20">
                  <c:v>338.69814814814816</c:v>
                </c:pt>
                <c:pt idx="21">
                  <c:v>310.69814814814816</c:v>
                </c:pt>
                <c:pt idx="22">
                  <c:v>-27.635185185185151</c:v>
                </c:pt>
                <c:pt idx="23">
                  <c:v>242.25370370370376</c:v>
                </c:pt>
                <c:pt idx="24">
                  <c:v>839.97592592592605</c:v>
                </c:pt>
                <c:pt idx="25">
                  <c:v>1924.9171023965143</c:v>
                </c:pt>
                <c:pt idx="26">
                  <c:v>6740.7994553376911</c:v>
                </c:pt>
                <c:pt idx="27">
                  <c:v>12098.799455337692</c:v>
                </c:pt>
                <c:pt idx="28">
                  <c:v>15166.564161220045</c:v>
                </c:pt>
                <c:pt idx="29">
                  <c:v>15907.652396514162</c:v>
                </c:pt>
                <c:pt idx="30">
                  <c:v>17657.444063180828</c:v>
                </c:pt>
                <c:pt idx="31">
                  <c:v>19324.110729847496</c:v>
                </c:pt>
                <c:pt idx="32">
                  <c:v>20337.721840958606</c:v>
                </c:pt>
                <c:pt idx="33">
                  <c:v>20344.944063180828</c:v>
                </c:pt>
                <c:pt idx="34">
                  <c:v>20183.462581699347</c:v>
                </c:pt>
                <c:pt idx="35">
                  <c:v>19795.907026143792</c:v>
                </c:pt>
                <c:pt idx="36">
                  <c:v>18256.907026143792</c:v>
                </c:pt>
                <c:pt idx="37">
                  <c:v>17698.57369281046</c:v>
                </c:pt>
                <c:pt idx="38">
                  <c:v>16862.907026143792</c:v>
                </c:pt>
                <c:pt idx="39">
                  <c:v>17314.795915032682</c:v>
                </c:pt>
                <c:pt idx="40">
                  <c:v>17314.795915032682</c:v>
                </c:pt>
                <c:pt idx="41">
                  <c:v>17314.795915032682</c:v>
                </c:pt>
                <c:pt idx="42">
                  <c:v>17314.795915032682</c:v>
                </c:pt>
                <c:pt idx="43">
                  <c:v>17314.795915032682</c:v>
                </c:pt>
                <c:pt idx="44">
                  <c:v>17314.795915032682</c:v>
                </c:pt>
                <c:pt idx="45">
                  <c:v>17314.795915032682</c:v>
                </c:pt>
                <c:pt idx="46">
                  <c:v>17314.795915032682</c:v>
                </c:pt>
                <c:pt idx="47">
                  <c:v>17314.795915032682</c:v>
                </c:pt>
                <c:pt idx="48">
                  <c:v>17314.795915032682</c:v>
                </c:pt>
                <c:pt idx="49">
                  <c:v>17314.795915032682</c:v>
                </c:pt>
                <c:pt idx="50">
                  <c:v>19488.995915032683</c:v>
                </c:pt>
                <c:pt idx="51">
                  <c:v>20390.795915032682</c:v>
                </c:pt>
                <c:pt idx="52">
                  <c:v>21102.743283453736</c:v>
                </c:pt>
                <c:pt idx="53">
                  <c:v>22444.532757137946</c:v>
                </c:pt>
                <c:pt idx="54">
                  <c:v>24284.953809769526</c:v>
                </c:pt>
                <c:pt idx="55">
                  <c:v>25136.164336085316</c:v>
                </c:pt>
                <c:pt idx="56">
                  <c:v>26087.517277261788</c:v>
                </c:pt>
                <c:pt idx="57">
                  <c:v>26775.458453732375</c:v>
                </c:pt>
                <c:pt idx="58">
                  <c:v>27555.125120399043</c:v>
                </c:pt>
                <c:pt idx="59">
                  <c:v>28282.267977541902</c:v>
                </c:pt>
                <c:pt idx="60">
                  <c:v>29259.696548970474</c:v>
                </c:pt>
                <c:pt idx="61">
                  <c:v>29031.125120399047</c:v>
                </c:pt>
                <c:pt idx="62">
                  <c:v>29197.196548970474</c:v>
                </c:pt>
                <c:pt idx="63">
                  <c:v>29197.196548970474</c:v>
                </c:pt>
                <c:pt idx="64">
                  <c:v>29197.196548970474</c:v>
                </c:pt>
                <c:pt idx="65">
                  <c:v>29197.196548970474</c:v>
                </c:pt>
                <c:pt idx="66">
                  <c:v>29197.196548970474</c:v>
                </c:pt>
                <c:pt idx="67">
                  <c:v>29197.196548970474</c:v>
                </c:pt>
                <c:pt idx="68">
                  <c:v>29197.196548970474</c:v>
                </c:pt>
              </c:numCache>
            </c:numRef>
          </c:val>
        </c:ser>
        <c:ser>
          <c:idx val="2"/>
          <c:order val="2"/>
          <c:tx>
            <c:strRef>
              <c:f>Yhteenveto!$Z$1</c:f>
              <c:strCache>
                <c:ptCount val="1"/>
                <c:pt idx="0">
                  <c:v>SDP</c:v>
                </c:pt>
              </c:strCache>
            </c:strRef>
          </c:tx>
          <c:marker>
            <c:symbol val="none"/>
          </c:marker>
          <c:dLbls>
            <c:dLbl>
              <c:idx val="67"/>
              <c:layout>
                <c:manualLayout>
                  <c:x val="-1.4860681114551083E-2"/>
                  <c:y val="-1.57480314960629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31138,5</a:t>
                    </a:r>
                  </a:p>
                </c:rich>
              </c:tx>
              <c:showVal val="1"/>
            </c:dLbl>
            <c:delete val="1"/>
          </c:dLbls>
          <c:cat>
            <c:numRef>
              <c:f>Yhteenveto!$W$28:$W$96</c:f>
              <c:numCache>
                <c:formatCode>General</c:formatCode>
                <c:ptCount val="69"/>
                <c:pt idx="0">
                  <c:v>1975</c:v>
                </c:pt>
                <c:pt idx="1">
                  <c:v>1975</c:v>
                </c:pt>
                <c:pt idx="2">
                  <c:v>1975</c:v>
                </c:pt>
                <c:pt idx="3">
                  <c:v>1976</c:v>
                </c:pt>
                <c:pt idx="4">
                  <c:v>1976</c:v>
                </c:pt>
                <c:pt idx="5">
                  <c:v>1977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1982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2010</c:v>
                </c:pt>
                <c:pt idx="51">
                  <c:v>2011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2014</c:v>
                </c:pt>
                <c:pt idx="57">
                  <c:v>2015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2019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Yhteenveto!$Z$28:$Z$96</c:f>
              <c:numCache>
                <c:formatCode>General</c:formatCode>
                <c:ptCount val="69"/>
                <c:pt idx="0">
                  <c:v>-44.312500000000014</c:v>
                </c:pt>
                <c:pt idx="1">
                  <c:v>-44.312500000000014</c:v>
                </c:pt>
                <c:pt idx="2">
                  <c:v>-40.53645833333335</c:v>
                </c:pt>
                <c:pt idx="3">
                  <c:v>2.1197916666666501</c:v>
                </c:pt>
                <c:pt idx="4">
                  <c:v>2.1197916666666501</c:v>
                </c:pt>
                <c:pt idx="5">
                  <c:v>2.1197916666666501</c:v>
                </c:pt>
                <c:pt idx="6">
                  <c:v>65.764236111111089</c:v>
                </c:pt>
                <c:pt idx="7">
                  <c:v>309.76423611111107</c:v>
                </c:pt>
                <c:pt idx="8">
                  <c:v>365.76423611111107</c:v>
                </c:pt>
                <c:pt idx="9">
                  <c:v>452.23482434640516</c:v>
                </c:pt>
                <c:pt idx="10">
                  <c:v>589.58776552287577</c:v>
                </c:pt>
                <c:pt idx="11">
                  <c:v>793.99953022875809</c:v>
                </c:pt>
                <c:pt idx="12">
                  <c:v>861.1563929738561</c:v>
                </c:pt>
                <c:pt idx="13">
                  <c:v>1196.9407066993463</c:v>
                </c:pt>
                <c:pt idx="14">
                  <c:v>1326.8426674836601</c:v>
                </c:pt>
                <c:pt idx="15">
                  <c:v>1742.5289419934638</c:v>
                </c:pt>
                <c:pt idx="16">
                  <c:v>2228.6465890522873</c:v>
                </c:pt>
                <c:pt idx="17">
                  <c:v>2443.705412581699</c:v>
                </c:pt>
                <c:pt idx="18">
                  <c:v>2840.41129493464</c:v>
                </c:pt>
                <c:pt idx="19">
                  <c:v>3012.332863562091</c:v>
                </c:pt>
                <c:pt idx="20">
                  <c:v>3337.0736043028319</c:v>
                </c:pt>
                <c:pt idx="21">
                  <c:v>3305.0736043028319</c:v>
                </c:pt>
                <c:pt idx="22">
                  <c:v>2918.4069376361654</c:v>
                </c:pt>
                <c:pt idx="23">
                  <c:v>3226.8513820806097</c:v>
                </c:pt>
                <c:pt idx="24">
                  <c:v>3909.9624931917206</c:v>
                </c:pt>
                <c:pt idx="25">
                  <c:v>3909.9624931917206</c:v>
                </c:pt>
                <c:pt idx="26">
                  <c:v>3909.9624931917206</c:v>
                </c:pt>
                <c:pt idx="27">
                  <c:v>3909.9624931917206</c:v>
                </c:pt>
                <c:pt idx="28">
                  <c:v>3909.9624931917206</c:v>
                </c:pt>
                <c:pt idx="29">
                  <c:v>3909.9624931917206</c:v>
                </c:pt>
                <c:pt idx="30">
                  <c:v>6359.6708265250545</c:v>
                </c:pt>
                <c:pt idx="31">
                  <c:v>8693.0041598583884</c:v>
                </c:pt>
                <c:pt idx="32">
                  <c:v>10112.059715413943</c:v>
                </c:pt>
                <c:pt idx="33">
                  <c:v>10122.170826525055</c:v>
                </c:pt>
                <c:pt idx="34">
                  <c:v>9896.0967524509797</c:v>
                </c:pt>
                <c:pt idx="35">
                  <c:v>9508.5411968954249</c:v>
                </c:pt>
                <c:pt idx="36">
                  <c:v>7969.5411968954249</c:v>
                </c:pt>
                <c:pt idx="37">
                  <c:v>7411.2078635620919</c:v>
                </c:pt>
                <c:pt idx="38">
                  <c:v>6575.5411968954249</c:v>
                </c:pt>
                <c:pt idx="39">
                  <c:v>7027.4300857843136</c:v>
                </c:pt>
                <c:pt idx="40">
                  <c:v>7328.6893450435728</c:v>
                </c:pt>
                <c:pt idx="41">
                  <c:v>8232.4671228213501</c:v>
                </c:pt>
                <c:pt idx="42">
                  <c:v>8440.4671228213501</c:v>
                </c:pt>
                <c:pt idx="43">
                  <c:v>6776.4671228213501</c:v>
                </c:pt>
                <c:pt idx="44">
                  <c:v>6269.8004561546832</c:v>
                </c:pt>
                <c:pt idx="45">
                  <c:v>5849.6523080065353</c:v>
                </c:pt>
                <c:pt idx="46">
                  <c:v>5093.3856413398689</c:v>
                </c:pt>
                <c:pt idx="47">
                  <c:v>4418.9856413398684</c:v>
                </c:pt>
                <c:pt idx="48">
                  <c:v>8378.5856413398687</c:v>
                </c:pt>
                <c:pt idx="49">
                  <c:v>10552.785641339869</c:v>
                </c:pt>
                <c:pt idx="50">
                  <c:v>10552.785641339869</c:v>
                </c:pt>
                <c:pt idx="51">
                  <c:v>10552.785641339869</c:v>
                </c:pt>
                <c:pt idx="52">
                  <c:v>11264.733009760923</c:v>
                </c:pt>
                <c:pt idx="53">
                  <c:v>12606.522483445133</c:v>
                </c:pt>
                <c:pt idx="54">
                  <c:v>14446.943536076711</c:v>
                </c:pt>
                <c:pt idx="55">
                  <c:v>15298.154062392501</c:v>
                </c:pt>
                <c:pt idx="56">
                  <c:v>16249.507003568971</c:v>
                </c:pt>
                <c:pt idx="57">
                  <c:v>16937.448180039559</c:v>
                </c:pt>
                <c:pt idx="58">
                  <c:v>16937.448180039559</c:v>
                </c:pt>
                <c:pt idx="59">
                  <c:v>16937.448180039559</c:v>
                </c:pt>
                <c:pt idx="60">
                  <c:v>16937.448180039559</c:v>
                </c:pt>
                <c:pt idx="61">
                  <c:v>16937.448180039559</c:v>
                </c:pt>
                <c:pt idx="62">
                  <c:v>16937.448180039559</c:v>
                </c:pt>
                <c:pt idx="63">
                  <c:v>17194.421864250085</c:v>
                </c:pt>
                <c:pt idx="64">
                  <c:v>17237.250811618505</c:v>
                </c:pt>
                <c:pt idx="65">
                  <c:v>24040.145548460612</c:v>
                </c:pt>
                <c:pt idx="66">
                  <c:v>25463.356074776402</c:v>
                </c:pt>
                <c:pt idx="67">
                  <c:v>31138.513969513246</c:v>
                </c:pt>
                <c:pt idx="68">
                  <c:v>31138.513969513246</c:v>
                </c:pt>
              </c:numCache>
            </c:numRef>
          </c:val>
        </c:ser>
        <c:ser>
          <c:idx val="4"/>
          <c:order val="3"/>
          <c:tx>
            <c:strRef>
              <c:f>Yhteenveto!$AB$1</c:f>
              <c:strCache>
                <c:ptCount val="1"/>
                <c:pt idx="0">
                  <c:v>RKP</c:v>
                </c:pt>
              </c:strCache>
            </c:strRef>
          </c:tx>
          <c:marker>
            <c:symbol val="none"/>
          </c:marker>
          <c:dLbls>
            <c:dLbl>
              <c:idx val="68"/>
              <c:layout>
                <c:manualLayout>
                  <c:x val="-2.6006191950464396E-2"/>
                  <c:y val="-1.8897637795275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14793,6</a:t>
                    </a:r>
                  </a:p>
                </c:rich>
              </c:tx>
              <c:showVal val="1"/>
            </c:dLbl>
            <c:delete val="1"/>
          </c:dLbls>
          <c:cat>
            <c:numRef>
              <c:f>Yhteenveto!$W$28:$W$96</c:f>
              <c:numCache>
                <c:formatCode>General</c:formatCode>
                <c:ptCount val="69"/>
                <c:pt idx="0">
                  <c:v>1975</c:v>
                </c:pt>
                <c:pt idx="1">
                  <c:v>1975</c:v>
                </c:pt>
                <c:pt idx="2">
                  <c:v>1975</c:v>
                </c:pt>
                <c:pt idx="3">
                  <c:v>1976</c:v>
                </c:pt>
                <c:pt idx="4">
                  <c:v>1976</c:v>
                </c:pt>
                <c:pt idx="5">
                  <c:v>1977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1982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2010</c:v>
                </c:pt>
                <c:pt idx="51">
                  <c:v>2011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2014</c:v>
                </c:pt>
                <c:pt idx="57">
                  <c:v>2015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2019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Yhteenveto!$AB$28:$AB$96</c:f>
              <c:numCache>
                <c:formatCode>General</c:formatCode>
                <c:ptCount val="69"/>
                <c:pt idx="0">
                  <c:v>10.331944444444447</c:v>
                </c:pt>
                <c:pt idx="1">
                  <c:v>10.331944444444447</c:v>
                </c:pt>
                <c:pt idx="2">
                  <c:v>11.842361111111114</c:v>
                </c:pt>
                <c:pt idx="3">
                  <c:v>28.904861111111114</c:v>
                </c:pt>
                <c:pt idx="4">
                  <c:v>37.436111111111117</c:v>
                </c:pt>
                <c:pt idx="5">
                  <c:v>59.811111111111117</c:v>
                </c:pt>
                <c:pt idx="6">
                  <c:v>75.722222222222229</c:v>
                </c:pt>
                <c:pt idx="7">
                  <c:v>136.72222222222223</c:v>
                </c:pt>
                <c:pt idx="8">
                  <c:v>150.72222222222223</c:v>
                </c:pt>
                <c:pt idx="9">
                  <c:v>185.31045751633988</c:v>
                </c:pt>
                <c:pt idx="10">
                  <c:v>240.25163398692811</c:v>
                </c:pt>
                <c:pt idx="11">
                  <c:v>322.01633986928107</c:v>
                </c:pt>
                <c:pt idx="12">
                  <c:v>348.8790849673203</c:v>
                </c:pt>
                <c:pt idx="13">
                  <c:v>483.19281045751637</c:v>
                </c:pt>
                <c:pt idx="14">
                  <c:v>535.15359477124184</c:v>
                </c:pt>
                <c:pt idx="15">
                  <c:v>639.07516339869278</c:v>
                </c:pt>
                <c:pt idx="16">
                  <c:v>760.60457516339864</c:v>
                </c:pt>
                <c:pt idx="17">
                  <c:v>814.36928104575156</c:v>
                </c:pt>
                <c:pt idx="18">
                  <c:v>913.54575163398681</c:v>
                </c:pt>
                <c:pt idx="19">
                  <c:v>956.52614379084957</c:v>
                </c:pt>
                <c:pt idx="20">
                  <c:v>1037.7113289760348</c:v>
                </c:pt>
                <c:pt idx="21">
                  <c:v>1029.7113289760348</c:v>
                </c:pt>
                <c:pt idx="22">
                  <c:v>933.04466230936816</c:v>
                </c:pt>
                <c:pt idx="23">
                  <c:v>1010.1557734204792</c:v>
                </c:pt>
                <c:pt idx="24">
                  <c:v>1180.933551198257</c:v>
                </c:pt>
                <c:pt idx="25">
                  <c:v>1542.5806100217865</c:v>
                </c:pt>
                <c:pt idx="26">
                  <c:v>3147.8747276688455</c:v>
                </c:pt>
                <c:pt idx="27">
                  <c:v>4933.8747276688455</c:v>
                </c:pt>
                <c:pt idx="28">
                  <c:v>5956.4629629629635</c:v>
                </c:pt>
                <c:pt idx="29">
                  <c:v>6203.4923747276698</c:v>
                </c:pt>
                <c:pt idx="30">
                  <c:v>6903.4090413943368</c:v>
                </c:pt>
                <c:pt idx="31">
                  <c:v>7570.0757080610038</c:v>
                </c:pt>
                <c:pt idx="32">
                  <c:v>7975.5201525054481</c:v>
                </c:pt>
                <c:pt idx="33">
                  <c:v>7978.4090413943368</c:v>
                </c:pt>
                <c:pt idx="34">
                  <c:v>7913.8164488017446</c:v>
                </c:pt>
                <c:pt idx="35">
                  <c:v>7784.6312636165594</c:v>
                </c:pt>
                <c:pt idx="36">
                  <c:v>7271.6312636165594</c:v>
                </c:pt>
                <c:pt idx="37">
                  <c:v>7085.5201525054481</c:v>
                </c:pt>
                <c:pt idx="38">
                  <c:v>6806.9645969498924</c:v>
                </c:pt>
                <c:pt idx="39">
                  <c:v>6957.594226579522</c:v>
                </c:pt>
                <c:pt idx="40">
                  <c:v>7032.9090413943368</c:v>
                </c:pt>
                <c:pt idx="41">
                  <c:v>7258.8534858387811</c:v>
                </c:pt>
                <c:pt idx="42">
                  <c:v>7310.8534858387811</c:v>
                </c:pt>
                <c:pt idx="43">
                  <c:v>6894.8534858387811</c:v>
                </c:pt>
                <c:pt idx="44">
                  <c:v>6768.1868191721142</c:v>
                </c:pt>
                <c:pt idx="45">
                  <c:v>6663.1497821350767</c:v>
                </c:pt>
                <c:pt idx="46">
                  <c:v>6474.0831154684101</c:v>
                </c:pt>
                <c:pt idx="47">
                  <c:v>6305.4831154684098</c:v>
                </c:pt>
                <c:pt idx="48">
                  <c:v>7295.3831154684103</c:v>
                </c:pt>
                <c:pt idx="49">
                  <c:v>7838.9331154684105</c:v>
                </c:pt>
                <c:pt idx="50">
                  <c:v>8382.4831154684107</c:v>
                </c:pt>
                <c:pt idx="51">
                  <c:v>8607.9331154684114</c:v>
                </c:pt>
                <c:pt idx="52">
                  <c:v>8845.2489049420965</c:v>
                </c:pt>
                <c:pt idx="53">
                  <c:v>9292.5120628368331</c:v>
                </c:pt>
                <c:pt idx="54">
                  <c:v>9905.9857470473598</c:v>
                </c:pt>
                <c:pt idx="55">
                  <c:v>10189.722589152623</c:v>
                </c:pt>
                <c:pt idx="56">
                  <c:v>10506.840236211447</c:v>
                </c:pt>
                <c:pt idx="57">
                  <c:v>10736.153961701642</c:v>
                </c:pt>
                <c:pt idx="58">
                  <c:v>10736.153961701642</c:v>
                </c:pt>
                <c:pt idx="59">
                  <c:v>10736.153961701642</c:v>
                </c:pt>
                <c:pt idx="60">
                  <c:v>10736.153961701642</c:v>
                </c:pt>
                <c:pt idx="61">
                  <c:v>10736.153961701642</c:v>
                </c:pt>
                <c:pt idx="62">
                  <c:v>10736.153961701642</c:v>
                </c:pt>
                <c:pt idx="63">
                  <c:v>10809.575014333221</c:v>
                </c:pt>
                <c:pt idx="64">
                  <c:v>10821.811856438484</c:v>
                </c:pt>
                <c:pt idx="65">
                  <c:v>12765.496066964799</c:v>
                </c:pt>
                <c:pt idx="66">
                  <c:v>13172.127645912167</c:v>
                </c:pt>
                <c:pt idx="67">
                  <c:v>14793.601330122694</c:v>
                </c:pt>
                <c:pt idx="68">
                  <c:v>14793.601330122694</c:v>
                </c:pt>
              </c:numCache>
            </c:numRef>
          </c:val>
        </c:ser>
        <c:ser>
          <c:idx val="6"/>
          <c:order val="4"/>
          <c:tx>
            <c:strRef>
              <c:f>Yhteenveto!$AD$1</c:f>
              <c:strCache>
                <c:ptCount val="1"/>
                <c:pt idx="0">
                  <c:v>VasemmistoL</c:v>
                </c:pt>
              </c:strCache>
            </c:strRef>
          </c:tx>
          <c:marker>
            <c:symbol val="none"/>
          </c:marker>
          <c:dLbls>
            <c:dLbl>
              <c:idx val="68"/>
              <c:layout>
                <c:manualLayout>
                  <c:x val="-2.1052631578947368E-2"/>
                  <c:y val="-1.8897637795275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7295,1</a:t>
                    </a:r>
                  </a:p>
                </c:rich>
              </c:tx>
              <c:showVal val="1"/>
            </c:dLbl>
            <c:delete val="1"/>
          </c:dLbls>
          <c:cat>
            <c:numRef>
              <c:f>Yhteenveto!$W$28:$W$96</c:f>
              <c:numCache>
                <c:formatCode>General</c:formatCode>
                <c:ptCount val="69"/>
                <c:pt idx="0">
                  <c:v>1975</c:v>
                </c:pt>
                <c:pt idx="1">
                  <c:v>1975</c:v>
                </c:pt>
                <c:pt idx="2">
                  <c:v>1975</c:v>
                </c:pt>
                <c:pt idx="3">
                  <c:v>1976</c:v>
                </c:pt>
                <c:pt idx="4">
                  <c:v>1976</c:v>
                </c:pt>
                <c:pt idx="5">
                  <c:v>1977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1982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2010</c:v>
                </c:pt>
                <c:pt idx="51">
                  <c:v>2011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2014</c:v>
                </c:pt>
                <c:pt idx="57">
                  <c:v>2015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2019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Yhteenveto!$AD$28:$AD$96</c:f>
              <c:numCache>
                <c:formatCode>General</c:formatCode>
                <c:ptCount val="69"/>
                <c:pt idx="0">
                  <c:v>15.223958333333329</c:v>
                </c:pt>
                <c:pt idx="1">
                  <c:v>15.223958333333329</c:v>
                </c:pt>
                <c:pt idx="2">
                  <c:v>18.244791666666661</c:v>
                </c:pt>
                <c:pt idx="3">
                  <c:v>52.369791666666657</c:v>
                </c:pt>
                <c:pt idx="4">
                  <c:v>52.369791666666657</c:v>
                </c:pt>
                <c:pt idx="5">
                  <c:v>52.369791666666657</c:v>
                </c:pt>
                <c:pt idx="6">
                  <c:v>100.10312499999999</c:v>
                </c:pt>
                <c:pt idx="7">
                  <c:v>283.10312499999998</c:v>
                </c:pt>
                <c:pt idx="8">
                  <c:v>325.10312499999998</c:v>
                </c:pt>
                <c:pt idx="9">
                  <c:v>376.98547794117644</c:v>
                </c:pt>
                <c:pt idx="10">
                  <c:v>459.39724264705882</c:v>
                </c:pt>
                <c:pt idx="11">
                  <c:v>582.04430147058827</c:v>
                </c:pt>
                <c:pt idx="12">
                  <c:v>622.33841911764705</c:v>
                </c:pt>
                <c:pt idx="13">
                  <c:v>823.80900735294119</c:v>
                </c:pt>
                <c:pt idx="14">
                  <c:v>901.75018382352937</c:v>
                </c:pt>
                <c:pt idx="15">
                  <c:v>901.75018382352937</c:v>
                </c:pt>
                <c:pt idx="16">
                  <c:v>901.75018382352937</c:v>
                </c:pt>
                <c:pt idx="17">
                  <c:v>901.75018382352937</c:v>
                </c:pt>
                <c:pt idx="18">
                  <c:v>901.75018382352937</c:v>
                </c:pt>
                <c:pt idx="19">
                  <c:v>901.75018382352937</c:v>
                </c:pt>
                <c:pt idx="20">
                  <c:v>901.75018382352937</c:v>
                </c:pt>
                <c:pt idx="21">
                  <c:v>901.75018382352937</c:v>
                </c:pt>
                <c:pt idx="22">
                  <c:v>901.75018382352937</c:v>
                </c:pt>
                <c:pt idx="23">
                  <c:v>901.75018382352937</c:v>
                </c:pt>
                <c:pt idx="24">
                  <c:v>901.75018382352937</c:v>
                </c:pt>
                <c:pt idx="25">
                  <c:v>901.75018382352937</c:v>
                </c:pt>
                <c:pt idx="26">
                  <c:v>901.75018382352937</c:v>
                </c:pt>
                <c:pt idx="27">
                  <c:v>901.75018382352937</c:v>
                </c:pt>
                <c:pt idx="28">
                  <c:v>901.75018382352937</c:v>
                </c:pt>
                <c:pt idx="29">
                  <c:v>901.75018382352937</c:v>
                </c:pt>
                <c:pt idx="30">
                  <c:v>1601.6668504901959</c:v>
                </c:pt>
                <c:pt idx="31">
                  <c:v>2268.3335171568624</c:v>
                </c:pt>
                <c:pt idx="32">
                  <c:v>2673.7779616013067</c:v>
                </c:pt>
                <c:pt idx="33">
                  <c:v>2676.6668504901954</c:v>
                </c:pt>
                <c:pt idx="34">
                  <c:v>2612.0742578976028</c:v>
                </c:pt>
                <c:pt idx="35">
                  <c:v>2482.8890727124176</c:v>
                </c:pt>
                <c:pt idx="36">
                  <c:v>1969.8890727124176</c:v>
                </c:pt>
                <c:pt idx="37">
                  <c:v>1783.7779616013065</c:v>
                </c:pt>
                <c:pt idx="38">
                  <c:v>1505.2224060457511</c:v>
                </c:pt>
                <c:pt idx="39">
                  <c:v>1655.8520356753806</c:v>
                </c:pt>
                <c:pt idx="40">
                  <c:v>1655.8520356753806</c:v>
                </c:pt>
                <c:pt idx="41">
                  <c:v>1655.8520356753806</c:v>
                </c:pt>
                <c:pt idx="42">
                  <c:v>1655.8520356753806</c:v>
                </c:pt>
                <c:pt idx="43">
                  <c:v>1655.8520356753806</c:v>
                </c:pt>
                <c:pt idx="44">
                  <c:v>1655.8520356753806</c:v>
                </c:pt>
                <c:pt idx="45">
                  <c:v>1655.8520356753806</c:v>
                </c:pt>
                <c:pt idx="46">
                  <c:v>1655.8520356753806</c:v>
                </c:pt>
                <c:pt idx="47">
                  <c:v>1655.8520356753806</c:v>
                </c:pt>
                <c:pt idx="48">
                  <c:v>1655.8520356753806</c:v>
                </c:pt>
                <c:pt idx="49">
                  <c:v>1655.8520356753806</c:v>
                </c:pt>
                <c:pt idx="50">
                  <c:v>1655.8520356753806</c:v>
                </c:pt>
                <c:pt idx="51">
                  <c:v>1655.8520356753806</c:v>
                </c:pt>
                <c:pt idx="52">
                  <c:v>1893.1678251490648</c:v>
                </c:pt>
                <c:pt idx="53">
                  <c:v>2340.4309830438015</c:v>
                </c:pt>
                <c:pt idx="54">
                  <c:v>2953.9046672543277</c:v>
                </c:pt>
                <c:pt idx="55">
                  <c:v>3237.6415093595906</c:v>
                </c:pt>
                <c:pt idx="56">
                  <c:v>3237.6415093595906</c:v>
                </c:pt>
                <c:pt idx="57">
                  <c:v>3237.6415093595906</c:v>
                </c:pt>
                <c:pt idx="58">
                  <c:v>3237.6415093595906</c:v>
                </c:pt>
                <c:pt idx="59">
                  <c:v>3237.6415093595906</c:v>
                </c:pt>
                <c:pt idx="60">
                  <c:v>3237.6415093595906</c:v>
                </c:pt>
                <c:pt idx="61">
                  <c:v>3237.6415093595906</c:v>
                </c:pt>
                <c:pt idx="62">
                  <c:v>3237.6415093595906</c:v>
                </c:pt>
                <c:pt idx="63">
                  <c:v>3311.0625619911693</c:v>
                </c:pt>
                <c:pt idx="64">
                  <c:v>3323.2994040964327</c:v>
                </c:pt>
                <c:pt idx="65">
                  <c:v>5266.9836146227481</c:v>
                </c:pt>
                <c:pt idx="66">
                  <c:v>5673.6151935701164</c:v>
                </c:pt>
                <c:pt idx="67">
                  <c:v>7295.0888777806431</c:v>
                </c:pt>
                <c:pt idx="68">
                  <c:v>7295.0888777806431</c:v>
                </c:pt>
              </c:numCache>
            </c:numRef>
          </c:val>
        </c:ser>
        <c:ser>
          <c:idx val="7"/>
          <c:order val="5"/>
          <c:tx>
            <c:strRef>
              <c:f>Yhteenveto!$AE$1</c:f>
              <c:strCache>
                <c:ptCount val="1"/>
                <c:pt idx="0">
                  <c:v>PerusS</c:v>
                </c:pt>
              </c:strCache>
            </c:strRef>
          </c:tx>
          <c:marker>
            <c:symbol val="none"/>
          </c:marker>
          <c:dLbls>
            <c:dLbl>
              <c:idx val="68"/>
              <c:layout>
                <c:manualLayout>
                  <c:x val="-1.1145510835913313E-2"/>
                  <c:y val="1.8897637795275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2955,3</a:t>
                    </a:r>
                  </a:p>
                </c:rich>
              </c:tx>
              <c:showVal val="1"/>
            </c:dLbl>
            <c:delete val="1"/>
          </c:dLbls>
          <c:cat>
            <c:numRef>
              <c:f>Yhteenveto!$W$28:$W$96</c:f>
              <c:numCache>
                <c:formatCode>General</c:formatCode>
                <c:ptCount val="69"/>
                <c:pt idx="0">
                  <c:v>1975</c:v>
                </c:pt>
                <c:pt idx="1">
                  <c:v>1975</c:v>
                </c:pt>
                <c:pt idx="2">
                  <c:v>1975</c:v>
                </c:pt>
                <c:pt idx="3">
                  <c:v>1976</c:v>
                </c:pt>
                <c:pt idx="4">
                  <c:v>1976</c:v>
                </c:pt>
                <c:pt idx="5">
                  <c:v>1977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1982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2010</c:v>
                </c:pt>
                <c:pt idx="51">
                  <c:v>2011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2014</c:v>
                </c:pt>
                <c:pt idx="57">
                  <c:v>2015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2019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Yhteenveto!$AE$28:$AE$96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103.92156862745097</c:v>
                </c:pt>
                <c:pt idx="16">
                  <c:v>225.45098039215685</c:v>
                </c:pt>
                <c:pt idx="17">
                  <c:v>279.21568627450978</c:v>
                </c:pt>
                <c:pt idx="18">
                  <c:v>378.39215686274508</c:v>
                </c:pt>
                <c:pt idx="19">
                  <c:v>421.37254901960785</c:v>
                </c:pt>
                <c:pt idx="20">
                  <c:v>461.96514161220045</c:v>
                </c:pt>
                <c:pt idx="21">
                  <c:v>457.96514161220045</c:v>
                </c:pt>
                <c:pt idx="22">
                  <c:v>409.63180827886714</c:v>
                </c:pt>
                <c:pt idx="23">
                  <c:v>448.18736383442268</c:v>
                </c:pt>
                <c:pt idx="24">
                  <c:v>533.57625272331154</c:v>
                </c:pt>
                <c:pt idx="25">
                  <c:v>533.57625272331154</c:v>
                </c:pt>
                <c:pt idx="26">
                  <c:v>533.57625272331154</c:v>
                </c:pt>
                <c:pt idx="27">
                  <c:v>533.57625272331154</c:v>
                </c:pt>
                <c:pt idx="28">
                  <c:v>533.57625272331154</c:v>
                </c:pt>
                <c:pt idx="29">
                  <c:v>533.57625272331154</c:v>
                </c:pt>
                <c:pt idx="30">
                  <c:v>533.57625272331154</c:v>
                </c:pt>
                <c:pt idx="31">
                  <c:v>533.57625272331154</c:v>
                </c:pt>
                <c:pt idx="32">
                  <c:v>533.57625272331154</c:v>
                </c:pt>
                <c:pt idx="33">
                  <c:v>533.57625272331154</c:v>
                </c:pt>
                <c:pt idx="34">
                  <c:v>533.57625272331154</c:v>
                </c:pt>
                <c:pt idx="35">
                  <c:v>533.57625272331154</c:v>
                </c:pt>
                <c:pt idx="36">
                  <c:v>533.57625272331154</c:v>
                </c:pt>
                <c:pt idx="37">
                  <c:v>533.57625272331154</c:v>
                </c:pt>
                <c:pt idx="38">
                  <c:v>533.57625272331154</c:v>
                </c:pt>
                <c:pt idx="39">
                  <c:v>533.57625272331154</c:v>
                </c:pt>
                <c:pt idx="40">
                  <c:v>533.57625272331154</c:v>
                </c:pt>
                <c:pt idx="41">
                  <c:v>533.57625272331154</c:v>
                </c:pt>
                <c:pt idx="42">
                  <c:v>533.57625272331154</c:v>
                </c:pt>
                <c:pt idx="43">
                  <c:v>533.57625272331154</c:v>
                </c:pt>
                <c:pt idx="44">
                  <c:v>533.57625272331154</c:v>
                </c:pt>
                <c:pt idx="45">
                  <c:v>533.57625272331154</c:v>
                </c:pt>
                <c:pt idx="46">
                  <c:v>533.57625272331154</c:v>
                </c:pt>
                <c:pt idx="47">
                  <c:v>533.57625272331154</c:v>
                </c:pt>
                <c:pt idx="48">
                  <c:v>533.57625272331154</c:v>
                </c:pt>
                <c:pt idx="49">
                  <c:v>533.57625272331154</c:v>
                </c:pt>
                <c:pt idx="50">
                  <c:v>533.57625272331154</c:v>
                </c:pt>
                <c:pt idx="51">
                  <c:v>533.57625272331154</c:v>
                </c:pt>
                <c:pt idx="52">
                  <c:v>533.57625272331154</c:v>
                </c:pt>
                <c:pt idx="53">
                  <c:v>533.57625272331154</c:v>
                </c:pt>
                <c:pt idx="54">
                  <c:v>533.57625272331154</c:v>
                </c:pt>
                <c:pt idx="55">
                  <c:v>533.57625272331154</c:v>
                </c:pt>
                <c:pt idx="56">
                  <c:v>533.57625272331154</c:v>
                </c:pt>
                <c:pt idx="57">
                  <c:v>533.57625272331154</c:v>
                </c:pt>
                <c:pt idx="58">
                  <c:v>1313.2429193899782</c:v>
                </c:pt>
                <c:pt idx="59">
                  <c:v>2040.3857765328353</c:v>
                </c:pt>
                <c:pt idx="60">
                  <c:v>3017.8143479614064</c:v>
                </c:pt>
                <c:pt idx="61">
                  <c:v>2789.2429193899779</c:v>
                </c:pt>
                <c:pt idx="62">
                  <c:v>2955.3143479614064</c:v>
                </c:pt>
                <c:pt idx="63">
                  <c:v>2955.3143479614064</c:v>
                </c:pt>
                <c:pt idx="64">
                  <c:v>2955.3143479614064</c:v>
                </c:pt>
                <c:pt idx="65">
                  <c:v>2955.3143479614064</c:v>
                </c:pt>
                <c:pt idx="66">
                  <c:v>2955.3143479614064</c:v>
                </c:pt>
                <c:pt idx="67">
                  <c:v>2955.3143479614064</c:v>
                </c:pt>
                <c:pt idx="68">
                  <c:v>2955.3143479614064</c:v>
                </c:pt>
              </c:numCache>
            </c:numRef>
          </c:val>
        </c:ser>
        <c:ser>
          <c:idx val="8"/>
          <c:order val="6"/>
          <c:tx>
            <c:strRef>
              <c:f>Yhteenveto!$AF$1</c:f>
              <c:strCache>
                <c:ptCount val="1"/>
                <c:pt idx="0">
                  <c:v>KristillisD</c:v>
                </c:pt>
              </c:strCache>
            </c:strRef>
          </c:tx>
          <c:marker>
            <c:symbol val="none"/>
          </c:marker>
          <c:dLbls>
            <c:dLbl>
              <c:idx val="68"/>
              <c:layout>
                <c:manualLayout>
                  <c:x val="-1.238390092879257E-2"/>
                  <c:y val="-1.57480314960629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3575,4</a:t>
                    </a:r>
                  </a:p>
                </c:rich>
              </c:tx>
              <c:showVal val="1"/>
            </c:dLbl>
            <c:delete val="1"/>
          </c:dLbls>
          <c:cat>
            <c:numRef>
              <c:f>Yhteenveto!$W$28:$W$96</c:f>
              <c:numCache>
                <c:formatCode>General</c:formatCode>
                <c:ptCount val="69"/>
                <c:pt idx="0">
                  <c:v>1975</c:v>
                </c:pt>
                <c:pt idx="1">
                  <c:v>1975</c:v>
                </c:pt>
                <c:pt idx="2">
                  <c:v>1975</c:v>
                </c:pt>
                <c:pt idx="3">
                  <c:v>1976</c:v>
                </c:pt>
                <c:pt idx="4">
                  <c:v>1976</c:v>
                </c:pt>
                <c:pt idx="5">
                  <c:v>1977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1982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2010</c:v>
                </c:pt>
                <c:pt idx="51">
                  <c:v>2011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2014</c:v>
                </c:pt>
                <c:pt idx="57">
                  <c:v>2015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2019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Yhteenveto!$AF$28:$AF$96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180.8235294117647</c:v>
                </c:pt>
                <c:pt idx="26">
                  <c:v>983.47058823529414</c:v>
                </c:pt>
                <c:pt idx="27">
                  <c:v>1876.4705882352941</c:v>
                </c:pt>
                <c:pt idx="28">
                  <c:v>2387.7647058823532</c:v>
                </c:pt>
                <c:pt idx="29">
                  <c:v>2511.2794117647063</c:v>
                </c:pt>
                <c:pt idx="30">
                  <c:v>2511.2794117647063</c:v>
                </c:pt>
                <c:pt idx="31">
                  <c:v>2511.2794117647063</c:v>
                </c:pt>
                <c:pt idx="32">
                  <c:v>2511.2794117647063</c:v>
                </c:pt>
                <c:pt idx="33">
                  <c:v>2511.2794117647063</c:v>
                </c:pt>
                <c:pt idx="34">
                  <c:v>2511.2794117647063</c:v>
                </c:pt>
                <c:pt idx="35">
                  <c:v>2511.2794117647063</c:v>
                </c:pt>
                <c:pt idx="36">
                  <c:v>2511.2794117647063</c:v>
                </c:pt>
                <c:pt idx="37">
                  <c:v>2511.2794117647063</c:v>
                </c:pt>
                <c:pt idx="38">
                  <c:v>2511.2794117647063</c:v>
                </c:pt>
                <c:pt idx="39">
                  <c:v>2511.2794117647063</c:v>
                </c:pt>
                <c:pt idx="40">
                  <c:v>2511.2794117647063</c:v>
                </c:pt>
                <c:pt idx="41">
                  <c:v>2511.2794117647063</c:v>
                </c:pt>
                <c:pt idx="42">
                  <c:v>2511.2794117647063</c:v>
                </c:pt>
                <c:pt idx="43">
                  <c:v>2511.2794117647063</c:v>
                </c:pt>
                <c:pt idx="44">
                  <c:v>2511.2794117647063</c:v>
                </c:pt>
                <c:pt idx="45">
                  <c:v>2511.2794117647063</c:v>
                </c:pt>
                <c:pt idx="46">
                  <c:v>2511.2794117647063</c:v>
                </c:pt>
                <c:pt idx="47">
                  <c:v>2511.2794117647063</c:v>
                </c:pt>
                <c:pt idx="48">
                  <c:v>2511.2794117647063</c:v>
                </c:pt>
                <c:pt idx="49">
                  <c:v>2511.2794117647063</c:v>
                </c:pt>
                <c:pt idx="50">
                  <c:v>2511.2794117647063</c:v>
                </c:pt>
                <c:pt idx="51">
                  <c:v>2511.2794117647063</c:v>
                </c:pt>
                <c:pt idx="52">
                  <c:v>2629.9373065015484</c:v>
                </c:pt>
                <c:pt idx="53">
                  <c:v>2853.5688854489167</c:v>
                </c:pt>
                <c:pt idx="54">
                  <c:v>3160.3057275541796</c:v>
                </c:pt>
                <c:pt idx="55">
                  <c:v>3302.1741486068113</c:v>
                </c:pt>
                <c:pt idx="56">
                  <c:v>3460.732972136223</c:v>
                </c:pt>
                <c:pt idx="57">
                  <c:v>3575.3898348813209</c:v>
                </c:pt>
                <c:pt idx="58">
                  <c:v>3575.3898348813209</c:v>
                </c:pt>
                <c:pt idx="59">
                  <c:v>3575.3898348813209</c:v>
                </c:pt>
                <c:pt idx="60">
                  <c:v>3575.3898348813209</c:v>
                </c:pt>
                <c:pt idx="61">
                  <c:v>3575.3898348813209</c:v>
                </c:pt>
                <c:pt idx="62">
                  <c:v>3575.3898348813209</c:v>
                </c:pt>
                <c:pt idx="63">
                  <c:v>3575.3898348813209</c:v>
                </c:pt>
                <c:pt idx="64">
                  <c:v>3575.3898348813209</c:v>
                </c:pt>
                <c:pt idx="65">
                  <c:v>3575.3898348813209</c:v>
                </c:pt>
                <c:pt idx="66">
                  <c:v>3575.3898348813209</c:v>
                </c:pt>
                <c:pt idx="67">
                  <c:v>3575.3898348813209</c:v>
                </c:pt>
                <c:pt idx="68">
                  <c:v>3575.3898348813209</c:v>
                </c:pt>
              </c:numCache>
            </c:numRef>
          </c:val>
        </c:ser>
        <c:ser>
          <c:idx val="9"/>
          <c:order val="7"/>
          <c:tx>
            <c:strRef>
              <c:f>Yhteenveto!$AG$1</c:f>
              <c:strCache>
                <c:ptCount val="1"/>
                <c:pt idx="0">
                  <c:v>Vihreät</c:v>
                </c:pt>
              </c:strCache>
            </c:strRef>
          </c:tx>
          <c:marker>
            <c:symbol val="none"/>
          </c:marker>
          <c:dLbls>
            <c:dLbl>
              <c:idx val="68"/>
              <c:layout>
                <c:manualLayout>
                  <c:x val="-2.7244582043343655E-2"/>
                  <c:y val="-2.20472440944881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10536,2</a:t>
                    </a:r>
                  </a:p>
                </c:rich>
              </c:tx>
              <c:showVal val="1"/>
            </c:dLbl>
            <c:delete val="1"/>
          </c:dLbls>
          <c:cat>
            <c:numRef>
              <c:f>Yhteenveto!$W$28:$W$96</c:f>
              <c:numCache>
                <c:formatCode>General</c:formatCode>
                <c:ptCount val="69"/>
                <c:pt idx="0">
                  <c:v>1975</c:v>
                </c:pt>
                <c:pt idx="1">
                  <c:v>1975</c:v>
                </c:pt>
                <c:pt idx="2">
                  <c:v>1975</c:v>
                </c:pt>
                <c:pt idx="3">
                  <c:v>1976</c:v>
                </c:pt>
                <c:pt idx="4">
                  <c:v>1976</c:v>
                </c:pt>
                <c:pt idx="5">
                  <c:v>1977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1982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2010</c:v>
                </c:pt>
                <c:pt idx="51">
                  <c:v>2011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2014</c:v>
                </c:pt>
                <c:pt idx="57">
                  <c:v>2015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2019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Yhteenveto!$AG$28:$AG$96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349.95833333333331</c:v>
                </c:pt>
                <c:pt idx="31">
                  <c:v>683.29166666666663</c:v>
                </c:pt>
                <c:pt idx="32">
                  <c:v>886.0138888888888</c:v>
                </c:pt>
                <c:pt idx="33">
                  <c:v>887.45833333333326</c:v>
                </c:pt>
                <c:pt idx="34">
                  <c:v>855.16203703703695</c:v>
                </c:pt>
                <c:pt idx="35">
                  <c:v>790.56944444444434</c:v>
                </c:pt>
                <c:pt idx="36">
                  <c:v>534.06944444444434</c:v>
                </c:pt>
                <c:pt idx="37">
                  <c:v>441.0138888888888</c:v>
                </c:pt>
                <c:pt idx="38">
                  <c:v>301.73611111111103</c:v>
                </c:pt>
                <c:pt idx="39">
                  <c:v>377.05092592592581</c:v>
                </c:pt>
                <c:pt idx="40">
                  <c:v>377.05092592592581</c:v>
                </c:pt>
                <c:pt idx="41">
                  <c:v>377.05092592592581</c:v>
                </c:pt>
                <c:pt idx="42">
                  <c:v>377.05092592592581</c:v>
                </c:pt>
                <c:pt idx="43">
                  <c:v>377.05092592592581</c:v>
                </c:pt>
                <c:pt idx="44">
                  <c:v>377.05092592592581</c:v>
                </c:pt>
                <c:pt idx="45">
                  <c:v>377.05092592592581</c:v>
                </c:pt>
                <c:pt idx="46">
                  <c:v>187.98425925925915</c:v>
                </c:pt>
                <c:pt idx="47">
                  <c:v>19.384259259259125</c:v>
                </c:pt>
                <c:pt idx="48">
                  <c:v>1009.2842592592592</c:v>
                </c:pt>
                <c:pt idx="49">
                  <c:v>1552.8342592592594</c:v>
                </c:pt>
                <c:pt idx="50">
                  <c:v>2096.3842592592596</c:v>
                </c:pt>
                <c:pt idx="51">
                  <c:v>2321.8342592592594</c:v>
                </c:pt>
                <c:pt idx="52">
                  <c:v>2559.1500487329436</c:v>
                </c:pt>
                <c:pt idx="53">
                  <c:v>3006.4132066276802</c:v>
                </c:pt>
                <c:pt idx="54">
                  <c:v>3619.8868908382065</c:v>
                </c:pt>
                <c:pt idx="55">
                  <c:v>3903.6237329434698</c:v>
                </c:pt>
                <c:pt idx="56">
                  <c:v>4220.7413800022932</c:v>
                </c:pt>
                <c:pt idx="57">
                  <c:v>4450.055105492489</c:v>
                </c:pt>
                <c:pt idx="58">
                  <c:v>4450.055105492489</c:v>
                </c:pt>
                <c:pt idx="59">
                  <c:v>4450.055105492489</c:v>
                </c:pt>
                <c:pt idx="60">
                  <c:v>4450.055105492489</c:v>
                </c:pt>
                <c:pt idx="61">
                  <c:v>4450.055105492489</c:v>
                </c:pt>
                <c:pt idx="62">
                  <c:v>4450.055105492489</c:v>
                </c:pt>
                <c:pt idx="63">
                  <c:v>4560.1866844398573</c:v>
                </c:pt>
                <c:pt idx="64">
                  <c:v>4578.5419475977524</c:v>
                </c:pt>
                <c:pt idx="65">
                  <c:v>7494.0682633872257</c:v>
                </c:pt>
                <c:pt idx="66">
                  <c:v>8104.0156318082782</c:v>
                </c:pt>
                <c:pt idx="67">
                  <c:v>10536.226158124067</c:v>
                </c:pt>
                <c:pt idx="68">
                  <c:v>10536.226158124067</c:v>
                </c:pt>
              </c:numCache>
            </c:numRef>
          </c:val>
        </c:ser>
        <c:marker val="1"/>
        <c:axId val="118461952"/>
        <c:axId val="118463488"/>
      </c:lineChart>
      <c:catAx>
        <c:axId val="118461952"/>
        <c:scaling>
          <c:orientation val="minMax"/>
        </c:scaling>
        <c:axPos val="b"/>
        <c:numFmt formatCode="General" sourceLinked="1"/>
        <c:tickLblPos val="nextTo"/>
        <c:crossAx val="118463488"/>
        <c:crosses val="autoZero"/>
        <c:auto val="1"/>
        <c:lblAlgn val="ctr"/>
        <c:lblOffset val="100"/>
      </c:catAx>
      <c:valAx>
        <c:axId val="118463488"/>
        <c:scaling>
          <c:orientation val="minMax"/>
        </c:scaling>
        <c:axPos val="l"/>
        <c:majorGridlines/>
        <c:numFmt formatCode="General" sourceLinked="1"/>
        <c:tickLblPos val="nextTo"/>
        <c:crossAx val="118461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056961068720897"/>
          <c:y val="1.3176266352532789E-3"/>
          <c:w val="0.10819199921991175"/>
          <c:h val="0.45563246326492657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165100</xdr:colOff>
      <xdr:row>46</xdr:row>
      <xdr:rowOff>152400</xdr:rowOff>
    </xdr:from>
    <xdr:to>
      <xdr:col>51</xdr:col>
      <xdr:colOff>57150</xdr:colOff>
      <xdr:row>68</xdr:row>
      <xdr:rowOff>133350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0.28173</cdr:x>
      <cdr:y>0.15748</cdr:y>
    </cdr:from>
    <cdr:to>
      <cdr:x>0.62724</cdr:x>
      <cdr:y>0.38425</cdr:y>
    </cdr:to>
    <cdr:sp macro="" textlink="">
      <cdr:nvSpPr>
        <cdr:cNvPr id="2" name="Tekstikehys 1"/>
        <cdr:cNvSpPr txBox="1"/>
      </cdr:nvSpPr>
      <cdr:spPr>
        <a:xfrm xmlns:a="http://schemas.openxmlformats.org/drawingml/2006/main">
          <a:off x="2889250" y="635000"/>
          <a:ext cx="35433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  <cdr:relSizeAnchor xmlns:cdr="http://schemas.openxmlformats.org/drawingml/2006/chartDrawing">
    <cdr:from>
      <cdr:x>0.19629</cdr:x>
      <cdr:y>0.02992</cdr:y>
    </cdr:from>
    <cdr:to>
      <cdr:x>0.74737</cdr:x>
      <cdr:y>0.25512</cdr:y>
    </cdr:to>
    <cdr:sp macro="" textlink="">
      <cdr:nvSpPr>
        <cdr:cNvPr id="3" name="Tekstikehys 2"/>
        <cdr:cNvSpPr txBox="1"/>
      </cdr:nvSpPr>
      <cdr:spPr>
        <a:xfrm xmlns:a="http://schemas.openxmlformats.org/drawingml/2006/main">
          <a:off x="2012994" y="120630"/>
          <a:ext cx="5651455" cy="908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i-FI" sz="2000" b="1"/>
            <a:t>Suomen valtion velka puolueittain [Miljoonaa EUR]</a:t>
          </a:r>
        </a:p>
        <a:p xmlns:a="http://schemas.openxmlformats.org/drawingml/2006/main">
          <a:r>
            <a:rPr lang="fi-FI" sz="2000" b="1"/>
            <a:t>Yhteensä 144100 Milj. EUR</a:t>
          </a:r>
        </a:p>
      </cdr:txBody>
    </cdr:sp>
  </cdr:relSizeAnchor>
</c:userShapes>
</file>

<file path=xl/theme/theme1.xml><?xml version="1.0" encoding="utf-8"?>
<a:theme xmlns:a="http://schemas.openxmlformats.org/drawingml/2006/main" name="Office-teema">
  <a:themeElements>
    <a:clrScheme name="Hannu_puolu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843C"/>
      </a:accent1>
      <a:accent2>
        <a:srgbClr val="005390"/>
      </a:accent2>
      <a:accent3>
        <a:srgbClr val="FF0000"/>
      </a:accent3>
      <a:accent4>
        <a:srgbClr val="1CFF83"/>
      </a:accent4>
      <a:accent5>
        <a:srgbClr val="F8BD8C"/>
      </a:accent5>
      <a:accent6>
        <a:srgbClr val="FE66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valtioneuvosto.fi/tietoa/historiaa/hallitukset-ja-ministerit/raportti/-/r/m1/56" TargetMode="External"/><Relationship Id="rId21" Type="http://schemas.openxmlformats.org/officeDocument/2006/relationships/hyperlink" Target="https://valtioneuvosto.fi/tietoa/historiaa/hallitukset-ja-ministerit/raportti/-/r/m1/50" TargetMode="External"/><Relationship Id="rId34" Type="http://schemas.openxmlformats.org/officeDocument/2006/relationships/hyperlink" Target="https://valtioneuvosto.fi/tietoa/historiaa/hallitukset-ja-ministerit/raportti/-/r/m1/60" TargetMode="External"/><Relationship Id="rId42" Type="http://schemas.openxmlformats.org/officeDocument/2006/relationships/hyperlink" Target="https://valtioneuvosto.fi/tietoa/historiaa/hallitukset-ja-ministerit/raportti/-/r/m1/63" TargetMode="External"/><Relationship Id="rId47" Type="http://schemas.openxmlformats.org/officeDocument/2006/relationships/hyperlink" Target="https://valtioneuvosto.fi/tietoa/historiaa/hallitukset-ja-ministerit/raportti/-/r/m1/64" TargetMode="External"/><Relationship Id="rId50" Type="http://schemas.openxmlformats.org/officeDocument/2006/relationships/hyperlink" Target="https://valtioneuvosto.fi/tietoa/historiaa/hallitukset-ja-ministerit/raportti/-/r/m1/64" TargetMode="External"/><Relationship Id="rId55" Type="http://schemas.openxmlformats.org/officeDocument/2006/relationships/hyperlink" Target="https://valtioneuvosto.fi/tietoa/historiaa/hallitukset-ja-ministerit/raportti/-/r/m1/65" TargetMode="External"/><Relationship Id="rId63" Type="http://schemas.openxmlformats.org/officeDocument/2006/relationships/hyperlink" Target="https://valtioneuvosto.fi/tietoa/historiaa/hallitukset-ja-ministerit/raportti/-/r/m1/67" TargetMode="External"/><Relationship Id="rId68" Type="http://schemas.openxmlformats.org/officeDocument/2006/relationships/hyperlink" Target="https://valtioneuvosto.fi/tietoa/historiaa/hallitukset-ja-ministerit/raportti/-/r/m1/69" TargetMode="External"/><Relationship Id="rId76" Type="http://schemas.openxmlformats.org/officeDocument/2006/relationships/hyperlink" Target="https://valtioneuvosto.fi/tietoa/historiaa/hallitukset-ja-ministerit/raportti/-/r/m1/71" TargetMode="External"/><Relationship Id="rId84" Type="http://schemas.openxmlformats.org/officeDocument/2006/relationships/hyperlink" Target="https://valtioneuvosto.fi/tietoa/historiaa/hallitukset-ja-ministerit/raportti/-/r/m1/74" TargetMode="External"/><Relationship Id="rId89" Type="http://schemas.openxmlformats.org/officeDocument/2006/relationships/hyperlink" Target="https://valtioneuvosto.fi/tietoa/historiaa/hallitukset-ja-ministerit/raportti/-/r/m1/75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valtioneuvosto.fi/tietoa/historiaa/hallitukset-ja-ministerit/raportti/-/r/m1/54" TargetMode="External"/><Relationship Id="rId71" Type="http://schemas.openxmlformats.org/officeDocument/2006/relationships/hyperlink" Target="https://valtioneuvosto.fi/tietoa/historiaa/hallitukset-ja-ministerit/raportti/-/r/m1/69" TargetMode="External"/><Relationship Id="rId92" Type="http://schemas.openxmlformats.org/officeDocument/2006/relationships/hyperlink" Target="https://valtioneuvosto.fi/tietoa/historiaa/hallitukset-ja-ministerit/raportti/-/r/m1/76" TargetMode="External"/><Relationship Id="rId2" Type="http://schemas.openxmlformats.org/officeDocument/2006/relationships/hyperlink" Target="https://valtioneuvosto.fi/tietoa/historiaa/hallitukset-ja-ministerit/raportti/-/r/m1/51" TargetMode="External"/><Relationship Id="rId16" Type="http://schemas.openxmlformats.org/officeDocument/2006/relationships/hyperlink" Target="https://valtioneuvosto.fi/tietoa/historiaa/hallitukset-ja-ministerit/raportti/-/r/m1/47" TargetMode="External"/><Relationship Id="rId29" Type="http://schemas.openxmlformats.org/officeDocument/2006/relationships/hyperlink" Target="https://valtioneuvosto.fi/tietoa/historiaa/hallitukset-ja-ministerit/raportti/-/r/m1/58" TargetMode="External"/><Relationship Id="rId11" Type="http://schemas.openxmlformats.org/officeDocument/2006/relationships/hyperlink" Target="https://valtioneuvosto.fi/tietoa/historiaa/hallitukset-ja-ministerit/raportti/-/r/m1/45" TargetMode="External"/><Relationship Id="rId24" Type="http://schemas.openxmlformats.org/officeDocument/2006/relationships/hyperlink" Target="https://valtioneuvosto.fi/tietoa/historiaa/hallitukset-ja-ministerit/raportti/-/r/m1/56" TargetMode="External"/><Relationship Id="rId32" Type="http://schemas.openxmlformats.org/officeDocument/2006/relationships/hyperlink" Target="https://valtioneuvosto.fi/tietoa/historiaa/hallitukset-ja-ministerit/raportti/-/r/m1/59" TargetMode="External"/><Relationship Id="rId37" Type="http://schemas.openxmlformats.org/officeDocument/2006/relationships/hyperlink" Target="https://valtioneuvosto.fi/tietoa/historiaa/hallitukset-ja-ministerit/raportti/-/r/m1/61" TargetMode="External"/><Relationship Id="rId40" Type="http://schemas.openxmlformats.org/officeDocument/2006/relationships/hyperlink" Target="https://valtioneuvosto.fi/tietoa/historiaa/hallitukset-ja-ministerit/raportti/-/r/m1/62" TargetMode="External"/><Relationship Id="rId45" Type="http://schemas.openxmlformats.org/officeDocument/2006/relationships/hyperlink" Target="https://valtioneuvosto.fi/tietoa/historiaa/hallitukset-ja-ministerit/raportti/-/r/m1/63" TargetMode="External"/><Relationship Id="rId53" Type="http://schemas.openxmlformats.org/officeDocument/2006/relationships/hyperlink" Target="https://valtioneuvosto.fi/tietoa/historiaa/hallitukset-ja-ministerit/raportti/-/r/m1/65" TargetMode="External"/><Relationship Id="rId58" Type="http://schemas.openxmlformats.org/officeDocument/2006/relationships/hyperlink" Target="https://valtioneuvosto.fi/tietoa/historiaa/hallitukset-ja-ministerit/raportti/-/r/m1/66" TargetMode="External"/><Relationship Id="rId66" Type="http://schemas.openxmlformats.org/officeDocument/2006/relationships/hyperlink" Target="https://valtioneuvosto.fi/tietoa/historiaa/hallitukset-ja-ministerit/raportti/-/r/m1/67" TargetMode="External"/><Relationship Id="rId74" Type="http://schemas.openxmlformats.org/officeDocument/2006/relationships/hyperlink" Target="https://valtioneuvosto.fi/tietoa/historiaa/hallitukset-ja-ministerit/raportti/-/r/m1/70" TargetMode="External"/><Relationship Id="rId79" Type="http://schemas.openxmlformats.org/officeDocument/2006/relationships/hyperlink" Target="https://valtioneuvosto.fi/tietoa/historiaa/hallitukset-ja-ministerit/raportti/-/r/m1/72" TargetMode="External"/><Relationship Id="rId87" Type="http://schemas.openxmlformats.org/officeDocument/2006/relationships/hyperlink" Target="https://valtioneuvosto.fi/tietoa/historiaa/hallitukset-ja-ministerit/raportti/-/r/m1/74" TargetMode="External"/><Relationship Id="rId5" Type="http://schemas.openxmlformats.org/officeDocument/2006/relationships/hyperlink" Target="https://valtioneuvosto.fi/tietoa/historiaa/hallitukset-ja-ministerit/raportti/-/r/m1/53" TargetMode="External"/><Relationship Id="rId61" Type="http://schemas.openxmlformats.org/officeDocument/2006/relationships/hyperlink" Target="https://valtioneuvosto.fi/tietoa/historiaa/hallitukset-ja-ministerit/raportti/-/r/m1/66" TargetMode="External"/><Relationship Id="rId82" Type="http://schemas.openxmlformats.org/officeDocument/2006/relationships/hyperlink" Target="https://valtioneuvosto.fi/tietoa/historiaa/hallitukset-ja-ministerit/raportti/-/r/m1/73" TargetMode="External"/><Relationship Id="rId90" Type="http://schemas.openxmlformats.org/officeDocument/2006/relationships/hyperlink" Target="https://valtioneuvosto.fi/tietoa/historiaa/hallitukset-ja-ministerit/raportti/-/r/m1/76" TargetMode="External"/><Relationship Id="rId95" Type="http://schemas.openxmlformats.org/officeDocument/2006/relationships/hyperlink" Target="https://valtioneuvosto.fi/tietoa/historiaa/hallitukset-ja-ministerit/raportti/-/r/m1/69" TargetMode="External"/><Relationship Id="rId19" Type="http://schemas.openxmlformats.org/officeDocument/2006/relationships/hyperlink" Target="https://valtioneuvosto.fi/tietoa/historiaa/hallitukset-ja-ministerit/raportti/-/r/m1/49" TargetMode="External"/><Relationship Id="rId14" Type="http://schemas.openxmlformats.org/officeDocument/2006/relationships/hyperlink" Target="https://valtioneuvosto.fi/tietoa/historiaa/hallitukset-ja-ministerit/raportti/-/r/m1/46" TargetMode="External"/><Relationship Id="rId22" Type="http://schemas.openxmlformats.org/officeDocument/2006/relationships/hyperlink" Target="https://valtioneuvosto.fi/tietoa/historiaa/hallitukset-ja-ministerit/raportti/-/r/m1/54" TargetMode="External"/><Relationship Id="rId27" Type="http://schemas.openxmlformats.org/officeDocument/2006/relationships/hyperlink" Target="https://valtioneuvosto.fi/tietoa/historiaa/hallitukset-ja-ministerit/raportti/-/r/m1/56" TargetMode="External"/><Relationship Id="rId30" Type="http://schemas.openxmlformats.org/officeDocument/2006/relationships/hyperlink" Target="https://valtioneuvosto.fi/tietoa/historiaa/hallitukset-ja-ministerit/raportti/-/r/m1/58" TargetMode="External"/><Relationship Id="rId35" Type="http://schemas.openxmlformats.org/officeDocument/2006/relationships/hyperlink" Target="https://valtioneuvosto.fi/tietoa/historiaa/hallitukset-ja-ministerit/raportti/-/r/m1/60" TargetMode="External"/><Relationship Id="rId43" Type="http://schemas.openxmlformats.org/officeDocument/2006/relationships/hyperlink" Target="https://valtioneuvosto.fi/tietoa/historiaa/hallitukset-ja-ministerit/raportti/-/r/m1/63" TargetMode="External"/><Relationship Id="rId48" Type="http://schemas.openxmlformats.org/officeDocument/2006/relationships/hyperlink" Target="https://valtioneuvosto.fi/tietoa/historiaa/hallitukset-ja-ministerit/raportti/-/r/m1/64" TargetMode="External"/><Relationship Id="rId56" Type="http://schemas.openxmlformats.org/officeDocument/2006/relationships/hyperlink" Target="https://valtioneuvosto.fi/tietoa/historiaa/hallitukset-ja-ministerit/raportti/-/r/m1/65" TargetMode="External"/><Relationship Id="rId64" Type="http://schemas.openxmlformats.org/officeDocument/2006/relationships/hyperlink" Target="https://valtioneuvosto.fi/tietoa/historiaa/hallitukset-ja-ministerit/raportti/-/r/m1/67" TargetMode="External"/><Relationship Id="rId69" Type="http://schemas.openxmlformats.org/officeDocument/2006/relationships/hyperlink" Target="https://valtioneuvosto.fi/tietoa/historiaa/hallitukset-ja-ministerit/raportti/-/r/m1/69" TargetMode="External"/><Relationship Id="rId77" Type="http://schemas.openxmlformats.org/officeDocument/2006/relationships/hyperlink" Target="https://valtioneuvosto.fi/tietoa/historiaa/hallitukset-ja-ministerit/raportti/-/r/m1/71" TargetMode="External"/><Relationship Id="rId8" Type="http://schemas.openxmlformats.org/officeDocument/2006/relationships/hyperlink" Target="https://valtioneuvosto.fi/tietoa/historiaa/hallitukset-ja-ministerit/raportti/-/r/m1/50" TargetMode="External"/><Relationship Id="rId51" Type="http://schemas.openxmlformats.org/officeDocument/2006/relationships/hyperlink" Target="https://valtioneuvosto.fi/tietoa/historiaa/hallitukset-ja-ministerit/raportti/-/r/m1/64" TargetMode="External"/><Relationship Id="rId72" Type="http://schemas.openxmlformats.org/officeDocument/2006/relationships/hyperlink" Target="https://valtioneuvosto.fi/tietoa/historiaa/hallitukset-ja-ministerit/raportti/-/r/m1/70" TargetMode="External"/><Relationship Id="rId80" Type="http://schemas.openxmlformats.org/officeDocument/2006/relationships/hyperlink" Target="https://valtioneuvosto.fi/tietoa/historiaa/hallitukset-ja-ministerit/raportti/-/r/m1/72" TargetMode="External"/><Relationship Id="rId85" Type="http://schemas.openxmlformats.org/officeDocument/2006/relationships/hyperlink" Target="https://valtioneuvosto.fi/tietoa/historiaa/hallitukset-ja-ministerit/raportti/-/r/m1/74" TargetMode="External"/><Relationship Id="rId93" Type="http://schemas.openxmlformats.org/officeDocument/2006/relationships/hyperlink" Target="https://valtioneuvosto.fi/tietoa/historiaa/hallitukset-ja-ministerit/raportti/-/r/m1/76" TargetMode="External"/><Relationship Id="rId3" Type="http://schemas.openxmlformats.org/officeDocument/2006/relationships/hyperlink" Target="https://valtioneuvosto.fi/tietoa/historiaa/hallitukset-ja-ministerit/raportti/-/r/m1/51" TargetMode="External"/><Relationship Id="rId12" Type="http://schemas.openxmlformats.org/officeDocument/2006/relationships/hyperlink" Target="https://valtioneuvosto.fi/tietoa/historiaa/hallitukset-ja-ministerit/raportti/-/r/m1/45" TargetMode="External"/><Relationship Id="rId17" Type="http://schemas.openxmlformats.org/officeDocument/2006/relationships/hyperlink" Target="https://valtioneuvosto.fi/tietoa/historiaa/hallitukset-ja-ministerit/raportti/-/r/m1/48" TargetMode="External"/><Relationship Id="rId25" Type="http://schemas.openxmlformats.org/officeDocument/2006/relationships/hyperlink" Target="https://valtioneuvosto.fi/tietoa/historiaa/hallitukset-ja-ministerit/raportti/-/r/m1/56" TargetMode="External"/><Relationship Id="rId33" Type="http://schemas.openxmlformats.org/officeDocument/2006/relationships/hyperlink" Target="https://valtioneuvosto.fi/tietoa/historiaa/hallitukset-ja-ministerit/raportti/-/r/m1/60" TargetMode="External"/><Relationship Id="rId38" Type="http://schemas.openxmlformats.org/officeDocument/2006/relationships/hyperlink" Target="https://valtioneuvosto.fi/tietoa/historiaa/hallitukset-ja-ministerit/raportti/-/r/m1/61" TargetMode="External"/><Relationship Id="rId46" Type="http://schemas.openxmlformats.org/officeDocument/2006/relationships/hyperlink" Target="https://valtioneuvosto.fi/tietoa/historiaa/hallitukset-ja-ministerit/raportti/-/r/m1/63" TargetMode="External"/><Relationship Id="rId59" Type="http://schemas.openxmlformats.org/officeDocument/2006/relationships/hyperlink" Target="https://valtioneuvosto.fi/tietoa/historiaa/hallitukset-ja-ministerit/raportti/-/r/m1/66" TargetMode="External"/><Relationship Id="rId67" Type="http://schemas.openxmlformats.org/officeDocument/2006/relationships/hyperlink" Target="https://valtioneuvosto.fi/tietoa/historiaa/hallitukset-ja-ministerit/raportti/-/r/m1/68" TargetMode="External"/><Relationship Id="rId20" Type="http://schemas.openxmlformats.org/officeDocument/2006/relationships/hyperlink" Target="https://valtioneuvosto.fi/tietoa/historiaa/hallitukset-ja-ministerit/raportti/-/r/m1/49" TargetMode="External"/><Relationship Id="rId41" Type="http://schemas.openxmlformats.org/officeDocument/2006/relationships/hyperlink" Target="https://valtioneuvosto.fi/tietoa/historiaa/hallitukset-ja-ministerit/raportti/-/r/m1/62" TargetMode="External"/><Relationship Id="rId54" Type="http://schemas.openxmlformats.org/officeDocument/2006/relationships/hyperlink" Target="https://valtioneuvosto.fi/tietoa/historiaa/hallitukset-ja-ministerit/raportti/-/r/m1/65" TargetMode="External"/><Relationship Id="rId62" Type="http://schemas.openxmlformats.org/officeDocument/2006/relationships/hyperlink" Target="https://valtioneuvosto.fi/tietoa/historiaa/hallitukset-ja-ministerit/raportti/-/r/m1/67" TargetMode="External"/><Relationship Id="rId70" Type="http://schemas.openxmlformats.org/officeDocument/2006/relationships/hyperlink" Target="https://valtioneuvosto.fi/tietoa/historiaa/hallitukset-ja-ministerit/raportti/-/r/m1/69" TargetMode="External"/><Relationship Id="rId75" Type="http://schemas.openxmlformats.org/officeDocument/2006/relationships/hyperlink" Target="https://valtioneuvosto.fi/tietoa/historiaa/hallitukset-ja-ministerit/raportti/-/r/m1/70" TargetMode="External"/><Relationship Id="rId83" Type="http://schemas.openxmlformats.org/officeDocument/2006/relationships/hyperlink" Target="https://valtioneuvosto.fi/tietoa/historiaa/hallitukset-ja-ministerit/raportti/-/r/m1/73" TargetMode="External"/><Relationship Id="rId88" Type="http://schemas.openxmlformats.org/officeDocument/2006/relationships/hyperlink" Target="https://valtioneuvosto.fi/tietoa/historiaa/hallitukset-ja-ministerit/raportti/-/r/m1/74" TargetMode="External"/><Relationship Id="rId91" Type="http://schemas.openxmlformats.org/officeDocument/2006/relationships/hyperlink" Target="https://valtioneuvosto.fi/tietoa/historiaa/hallitukset-ja-ministerit/raportti/-/r/m1/76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valtioneuvosto.fi/tietoa/historiaa/hallitukset-ja-ministerit/raportti/-/r/m1/51" TargetMode="External"/><Relationship Id="rId6" Type="http://schemas.openxmlformats.org/officeDocument/2006/relationships/hyperlink" Target="https://valtioneuvosto.fi/tietoa/historiaa/hallitukset-ja-ministerit/raportti/-/r/m1/53" TargetMode="External"/><Relationship Id="rId15" Type="http://schemas.openxmlformats.org/officeDocument/2006/relationships/hyperlink" Target="https://valtioneuvosto.fi/tietoa/historiaa/hallitukset-ja-ministerit/raportti/-/r/m1/47" TargetMode="External"/><Relationship Id="rId23" Type="http://schemas.openxmlformats.org/officeDocument/2006/relationships/hyperlink" Target="https://valtioneuvosto.fi/tietoa/historiaa/hallitukset-ja-ministerit/raportti/-/r/m1/55" TargetMode="External"/><Relationship Id="rId28" Type="http://schemas.openxmlformats.org/officeDocument/2006/relationships/hyperlink" Target="https://valtioneuvosto.fi/tietoa/historiaa/hallitukset-ja-ministerit/raportti/-/r/m1/57" TargetMode="External"/><Relationship Id="rId36" Type="http://schemas.openxmlformats.org/officeDocument/2006/relationships/hyperlink" Target="https://valtioneuvosto.fi/tietoa/historiaa/hallitukset-ja-ministerit/raportti/-/r/m1/61" TargetMode="External"/><Relationship Id="rId49" Type="http://schemas.openxmlformats.org/officeDocument/2006/relationships/hyperlink" Target="https://valtioneuvosto.fi/tietoa/historiaa/hallitukset-ja-ministerit/raportti/-/r/m1/64" TargetMode="External"/><Relationship Id="rId57" Type="http://schemas.openxmlformats.org/officeDocument/2006/relationships/hyperlink" Target="https://valtioneuvosto.fi/tietoa/historiaa/hallitukset-ja-ministerit/raportti/-/r/m1/66" TargetMode="External"/><Relationship Id="rId10" Type="http://schemas.openxmlformats.org/officeDocument/2006/relationships/hyperlink" Target="https://valtioneuvosto.fi/tietoa/historiaa/hallitukset-ja-ministerit/raportti/-/r/m1/45" TargetMode="External"/><Relationship Id="rId31" Type="http://schemas.openxmlformats.org/officeDocument/2006/relationships/hyperlink" Target="https://valtioneuvosto.fi/tietoa/historiaa/hallitukset-ja-ministerit/raportti/-/r/m1/59" TargetMode="External"/><Relationship Id="rId44" Type="http://schemas.openxmlformats.org/officeDocument/2006/relationships/hyperlink" Target="https://valtioneuvosto.fi/tietoa/historiaa/hallitukset-ja-ministerit/raportti/-/r/m1/63" TargetMode="External"/><Relationship Id="rId52" Type="http://schemas.openxmlformats.org/officeDocument/2006/relationships/hyperlink" Target="https://valtioneuvosto.fi/tietoa/historiaa/hallitukset-ja-ministerit/raportti/-/r/m1/65" TargetMode="External"/><Relationship Id="rId60" Type="http://schemas.openxmlformats.org/officeDocument/2006/relationships/hyperlink" Target="https://valtioneuvosto.fi/tietoa/historiaa/hallitukset-ja-ministerit/raportti/-/r/m1/66" TargetMode="External"/><Relationship Id="rId65" Type="http://schemas.openxmlformats.org/officeDocument/2006/relationships/hyperlink" Target="https://valtioneuvosto.fi/tietoa/historiaa/hallitukset-ja-ministerit/raportti/-/r/m1/67" TargetMode="External"/><Relationship Id="rId73" Type="http://schemas.openxmlformats.org/officeDocument/2006/relationships/hyperlink" Target="https://valtioneuvosto.fi/tietoa/historiaa/hallitukset-ja-ministerit/raportti/-/r/m1/70" TargetMode="External"/><Relationship Id="rId78" Type="http://schemas.openxmlformats.org/officeDocument/2006/relationships/hyperlink" Target="https://valtioneuvosto.fi/tietoa/historiaa/hallitukset-ja-ministerit/raportti/-/r/m1/72" TargetMode="External"/><Relationship Id="rId81" Type="http://schemas.openxmlformats.org/officeDocument/2006/relationships/hyperlink" Target="https://valtioneuvosto.fi/tietoa/historiaa/hallitukset-ja-ministerit/raportti/-/r/m1/72" TargetMode="External"/><Relationship Id="rId86" Type="http://schemas.openxmlformats.org/officeDocument/2006/relationships/hyperlink" Target="https://valtioneuvosto.fi/tietoa/historiaa/hallitukset-ja-ministerit/raportti/-/r/m1/74" TargetMode="External"/><Relationship Id="rId94" Type="http://schemas.openxmlformats.org/officeDocument/2006/relationships/hyperlink" Target="https://valtioneuvosto.fi/tietoa/historiaa/hallitukset-ja-ministerit/raportti/-/r/m1/76" TargetMode="External"/><Relationship Id="rId4" Type="http://schemas.openxmlformats.org/officeDocument/2006/relationships/hyperlink" Target="https://valtioneuvosto.fi/tietoa/historiaa/hallitukset-ja-ministerit/raportti/-/r/m1/52" TargetMode="External"/><Relationship Id="rId9" Type="http://schemas.openxmlformats.org/officeDocument/2006/relationships/hyperlink" Target="https://valtioneuvosto.fi/tietoa/historiaa/hallitukset-ja-ministerit/raportti/-/r/m1/50" TargetMode="External"/><Relationship Id="rId13" Type="http://schemas.openxmlformats.org/officeDocument/2006/relationships/hyperlink" Target="https://valtioneuvosto.fi/tietoa/historiaa/hallitukset-ja-ministerit/raportti/-/r/m1/46" TargetMode="External"/><Relationship Id="rId18" Type="http://schemas.openxmlformats.org/officeDocument/2006/relationships/hyperlink" Target="https://valtioneuvosto.fi/tietoa/historiaa/hallitukset-ja-ministerit/raportti/-/r/m1/49" TargetMode="External"/><Relationship Id="rId39" Type="http://schemas.openxmlformats.org/officeDocument/2006/relationships/hyperlink" Target="https://valtioneuvosto.fi/tietoa/historiaa/hallitukset-ja-ministerit/raportti/-/r/m1/6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altioneuvosto.fi/tietoa/historiaa/hallitukset-ja-ministerit/raportti/-/r/m1/58" TargetMode="External"/><Relationship Id="rId13" Type="http://schemas.openxmlformats.org/officeDocument/2006/relationships/hyperlink" Target="https://valtioneuvosto.fi/tietoa/historiaa/hallitukset-ja-ministerit/raportti/-/r/m1/63" TargetMode="External"/><Relationship Id="rId18" Type="http://schemas.openxmlformats.org/officeDocument/2006/relationships/hyperlink" Target="https://valtioneuvosto.fi/tietoa/historiaa/hallitukset-ja-ministerit/raportti/-/r/m1/68" TargetMode="External"/><Relationship Id="rId26" Type="http://schemas.openxmlformats.org/officeDocument/2006/relationships/hyperlink" Target="https://valtioneuvosto.fi/tietoa/historiaa/hallitukset-ja-ministerit/raportti/-/r/m1/76" TargetMode="External"/><Relationship Id="rId3" Type="http://schemas.openxmlformats.org/officeDocument/2006/relationships/hyperlink" Target="https://valtioneuvosto.fi/tietoa/historiaa/hallitukset-ja-ministerit/raportti/-/r/m1/53" TargetMode="External"/><Relationship Id="rId21" Type="http://schemas.openxmlformats.org/officeDocument/2006/relationships/hyperlink" Target="https://valtioneuvosto.fi/tietoa/historiaa/hallitukset-ja-ministerit/raportti/-/r/m1/71" TargetMode="External"/><Relationship Id="rId7" Type="http://schemas.openxmlformats.org/officeDocument/2006/relationships/hyperlink" Target="https://valtioneuvosto.fi/tietoa/historiaa/hallitukset-ja-ministerit/raportti/-/r/m1/57" TargetMode="External"/><Relationship Id="rId12" Type="http://schemas.openxmlformats.org/officeDocument/2006/relationships/hyperlink" Target="https://valtioneuvosto.fi/tietoa/historiaa/hallitukset-ja-ministerit/raportti/-/r/m1/62" TargetMode="External"/><Relationship Id="rId17" Type="http://schemas.openxmlformats.org/officeDocument/2006/relationships/hyperlink" Target="https://valtioneuvosto.fi/tietoa/historiaa/hallitukset-ja-ministerit/raportti/-/r/m1/67" TargetMode="External"/><Relationship Id="rId25" Type="http://schemas.openxmlformats.org/officeDocument/2006/relationships/hyperlink" Target="https://valtioneuvosto.fi/tietoa/historiaa/hallitukset-ja-ministerit/raportti/-/r/m1/75" TargetMode="External"/><Relationship Id="rId2" Type="http://schemas.openxmlformats.org/officeDocument/2006/relationships/hyperlink" Target="https://valtioneuvosto.fi/tietoa/historiaa/hallitukset-ja-ministerit/raportti/-/r/m1/52" TargetMode="External"/><Relationship Id="rId16" Type="http://schemas.openxmlformats.org/officeDocument/2006/relationships/hyperlink" Target="https://valtioneuvosto.fi/tietoa/historiaa/hallitukset-ja-ministerit/raportti/-/r/m1/66" TargetMode="External"/><Relationship Id="rId20" Type="http://schemas.openxmlformats.org/officeDocument/2006/relationships/hyperlink" Target="https://valtioneuvosto.fi/tietoa/historiaa/hallitukset-ja-ministerit/raportti/-/r/m1/70" TargetMode="External"/><Relationship Id="rId1" Type="http://schemas.openxmlformats.org/officeDocument/2006/relationships/hyperlink" Target="https://valtioneuvosto.fi/tietoa/historiaa/hallitukset-ja-ministerit/raportti/-/r/m1/51" TargetMode="External"/><Relationship Id="rId6" Type="http://schemas.openxmlformats.org/officeDocument/2006/relationships/hyperlink" Target="https://valtioneuvosto.fi/tietoa/historiaa/hallitukset-ja-ministerit/raportti/-/r/m1/56" TargetMode="External"/><Relationship Id="rId11" Type="http://schemas.openxmlformats.org/officeDocument/2006/relationships/hyperlink" Target="https://valtioneuvosto.fi/tietoa/historiaa/hallitukset-ja-ministerit/raportti/-/r/m1/61" TargetMode="External"/><Relationship Id="rId24" Type="http://schemas.openxmlformats.org/officeDocument/2006/relationships/hyperlink" Target="https://valtioneuvosto.fi/tietoa/historiaa/hallitukset-ja-ministerit/raportti/-/r/m1/74" TargetMode="External"/><Relationship Id="rId5" Type="http://schemas.openxmlformats.org/officeDocument/2006/relationships/hyperlink" Target="https://valtioneuvosto.fi/tietoa/historiaa/hallitukset-ja-ministerit/raportti/-/r/m1/55" TargetMode="External"/><Relationship Id="rId15" Type="http://schemas.openxmlformats.org/officeDocument/2006/relationships/hyperlink" Target="https://valtioneuvosto.fi/tietoa/historiaa/hallitukset-ja-ministerit/raportti/-/r/m1/65" TargetMode="External"/><Relationship Id="rId23" Type="http://schemas.openxmlformats.org/officeDocument/2006/relationships/hyperlink" Target="https://valtioneuvosto.fi/tietoa/historiaa/hallitukset-ja-ministerit/raportti/-/r/m1/73" TargetMode="External"/><Relationship Id="rId10" Type="http://schemas.openxmlformats.org/officeDocument/2006/relationships/hyperlink" Target="https://valtioneuvosto.fi/tietoa/historiaa/hallitukset-ja-ministerit/raportti/-/r/m1/60" TargetMode="External"/><Relationship Id="rId19" Type="http://schemas.openxmlformats.org/officeDocument/2006/relationships/hyperlink" Target="https://valtioneuvosto.fi/tietoa/historiaa/hallitukset-ja-ministerit/raportti/-/r/m1/69" TargetMode="External"/><Relationship Id="rId4" Type="http://schemas.openxmlformats.org/officeDocument/2006/relationships/hyperlink" Target="https://valtioneuvosto.fi/tietoa/historiaa/hallitukset-ja-ministerit/raportti/-/r/m1/54" TargetMode="External"/><Relationship Id="rId9" Type="http://schemas.openxmlformats.org/officeDocument/2006/relationships/hyperlink" Target="https://valtioneuvosto.fi/tietoa/historiaa/hallitukset-ja-ministerit/raportti/-/r/m1/59" TargetMode="External"/><Relationship Id="rId14" Type="http://schemas.openxmlformats.org/officeDocument/2006/relationships/hyperlink" Target="https://valtioneuvosto.fi/tietoa/historiaa/hallitukset-ja-ministerit/raportti/-/r/m1/64" TargetMode="External"/><Relationship Id="rId22" Type="http://schemas.openxmlformats.org/officeDocument/2006/relationships/hyperlink" Target="https://valtioneuvosto.fi/tietoa/historiaa/hallitukset-ja-ministerit/raportti/-/r/m1/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7"/>
  <sheetViews>
    <sheetView tabSelected="1" topLeftCell="AF45" workbookViewId="0">
      <selection activeCell="AI96" sqref="X96:AI96"/>
    </sheetView>
  </sheetViews>
  <sheetFormatPr defaultRowHeight="14.5"/>
  <cols>
    <col min="1" max="1" width="11.90625" customWidth="1"/>
    <col min="2" max="2" width="8.08984375" customWidth="1"/>
    <col min="3" max="3" width="16.7265625" customWidth="1"/>
    <col min="4" max="4" width="17.7265625" bestFit="1" customWidth="1"/>
    <col min="5" max="5" width="10.1796875" bestFit="1" customWidth="1"/>
    <col min="6" max="6" width="2.54296875" customWidth="1"/>
    <col min="7" max="7" width="11.90625" customWidth="1"/>
    <col min="8" max="8" width="13.7265625" bestFit="1" customWidth="1"/>
    <col min="9" max="10" width="10" customWidth="1"/>
    <col min="11" max="11" width="10.7265625" customWidth="1"/>
    <col min="16" max="16" width="11.08984375" customWidth="1"/>
    <col min="17" max="17" width="11" bestFit="1" customWidth="1"/>
    <col min="18" max="19" width="11" customWidth="1"/>
    <col min="25" max="25" width="10.26953125" customWidth="1"/>
    <col min="30" max="30" width="11.6328125" customWidth="1"/>
    <col min="31" max="31" width="11.453125" customWidth="1"/>
  </cols>
  <sheetData>
    <row r="1" spans="1:34">
      <c r="A1" s="22" t="s">
        <v>67</v>
      </c>
      <c r="B1" s="22" t="s">
        <v>64</v>
      </c>
      <c r="C1" s="22" t="s">
        <v>0</v>
      </c>
      <c r="D1" s="22" t="s">
        <v>71</v>
      </c>
      <c r="E1" s="22" t="s">
        <v>72</v>
      </c>
      <c r="F1" s="22"/>
      <c r="G1" s="22" t="s">
        <v>75</v>
      </c>
      <c r="H1" s="22" t="s">
        <v>77</v>
      </c>
      <c r="I1" s="22" t="s">
        <v>79</v>
      </c>
      <c r="J1" s="22" t="s">
        <v>18</v>
      </c>
      <c r="K1" s="22" t="s">
        <v>35</v>
      </c>
      <c r="L1" s="22" t="s">
        <v>12</v>
      </c>
      <c r="M1" s="22" t="s">
        <v>81</v>
      </c>
      <c r="N1" s="22" t="s">
        <v>78</v>
      </c>
      <c r="O1" s="22" t="s">
        <v>80</v>
      </c>
      <c r="P1" s="22" t="s">
        <v>84</v>
      </c>
      <c r="Q1" s="22" t="s">
        <v>83</v>
      </c>
      <c r="R1" s="22" t="s">
        <v>86</v>
      </c>
      <c r="S1" s="22" t="s">
        <v>85</v>
      </c>
      <c r="T1" s="22" t="s">
        <v>16</v>
      </c>
      <c r="U1" s="22" t="s">
        <v>82</v>
      </c>
      <c r="V1" s="22"/>
      <c r="W1" s="22" t="s">
        <v>75</v>
      </c>
      <c r="X1" s="22" t="s">
        <v>18</v>
      </c>
      <c r="Y1" s="22" t="s">
        <v>35</v>
      </c>
      <c r="Z1" s="22" t="s">
        <v>12</v>
      </c>
      <c r="AA1" s="22" t="s">
        <v>81</v>
      </c>
      <c r="AB1" s="22" t="s">
        <v>78</v>
      </c>
      <c r="AC1" s="22" t="s">
        <v>80</v>
      </c>
      <c r="AD1" s="22" t="s">
        <v>89</v>
      </c>
      <c r="AE1" s="22" t="s">
        <v>87</v>
      </c>
      <c r="AF1" s="22" t="s">
        <v>88</v>
      </c>
      <c r="AG1" s="22" t="s">
        <v>85</v>
      </c>
      <c r="AH1" s="22" t="s">
        <v>16</v>
      </c>
    </row>
    <row r="2" spans="1:34">
      <c r="A2">
        <v>1959</v>
      </c>
      <c r="B2">
        <v>12</v>
      </c>
      <c r="C2" s="1" t="s">
        <v>66</v>
      </c>
      <c r="D2" t="s">
        <v>70</v>
      </c>
      <c r="E2" t="s">
        <v>13</v>
      </c>
      <c r="G2">
        <v>1959</v>
      </c>
      <c r="H2">
        <v>5</v>
      </c>
      <c r="I2">
        <v>5</v>
      </c>
      <c r="J2">
        <f>I2*(14/15)</f>
        <v>4.666666666666667</v>
      </c>
      <c r="N2">
        <f>I2*(1/15)</f>
        <v>0.33333333333333331</v>
      </c>
      <c r="U2">
        <f>SUM(J2:T2)</f>
        <v>5</v>
      </c>
      <c r="W2">
        <v>1959</v>
      </c>
      <c r="X2">
        <f>J2</f>
        <v>4.666666666666667</v>
      </c>
      <c r="Y2">
        <f t="shared" ref="Y2:AH2" si="0">K2</f>
        <v>0</v>
      </c>
      <c r="Z2">
        <f t="shared" si="0"/>
        <v>0</v>
      </c>
      <c r="AA2">
        <f t="shared" si="0"/>
        <v>0</v>
      </c>
      <c r="AB2">
        <f t="shared" si="0"/>
        <v>0.33333333333333331</v>
      </c>
      <c r="AC2">
        <f t="shared" si="0"/>
        <v>0</v>
      </c>
      <c r="AD2">
        <f t="shared" si="0"/>
        <v>0</v>
      </c>
      <c r="AE2">
        <f t="shared" si="0"/>
        <v>0</v>
      </c>
      <c r="AF2">
        <f t="shared" si="0"/>
        <v>0</v>
      </c>
      <c r="AG2">
        <f t="shared" si="0"/>
        <v>0</v>
      </c>
      <c r="AH2">
        <f t="shared" si="0"/>
        <v>0</v>
      </c>
    </row>
    <row r="3" spans="1:34">
      <c r="A3">
        <v>1960</v>
      </c>
      <c r="B3">
        <v>12</v>
      </c>
      <c r="C3" s="1" t="s">
        <v>66</v>
      </c>
      <c r="D3" t="s">
        <v>70</v>
      </c>
      <c r="E3" t="s">
        <v>13</v>
      </c>
      <c r="G3">
        <v>1960</v>
      </c>
      <c r="H3">
        <v>-23</v>
      </c>
      <c r="I3">
        <v>-23</v>
      </c>
      <c r="J3">
        <f t="shared" ref="J3:J4" si="1">I3*(14/15)</f>
        <v>-21.466666666666669</v>
      </c>
      <c r="N3">
        <f t="shared" ref="N3:N4" si="2">I3*(1/15)</f>
        <v>-1.5333333333333332</v>
      </c>
      <c r="U3">
        <f t="shared" ref="U3:U66" si="3">SUM(J3:T3)</f>
        <v>-23</v>
      </c>
      <c r="W3">
        <v>1960</v>
      </c>
      <c r="X3">
        <f t="shared" ref="X3:AH3" si="4">X2+J3</f>
        <v>-16.8</v>
      </c>
      <c r="Y3">
        <f t="shared" si="4"/>
        <v>0</v>
      </c>
      <c r="Z3">
        <f t="shared" si="4"/>
        <v>0</v>
      </c>
      <c r="AA3">
        <f t="shared" si="4"/>
        <v>0</v>
      </c>
      <c r="AB3">
        <f t="shared" si="4"/>
        <v>-1.2</v>
      </c>
      <c r="AC3">
        <f t="shared" si="4"/>
        <v>0</v>
      </c>
      <c r="AD3">
        <f t="shared" si="4"/>
        <v>0</v>
      </c>
      <c r="AE3">
        <f t="shared" si="4"/>
        <v>0</v>
      </c>
      <c r="AF3">
        <f t="shared" si="4"/>
        <v>0</v>
      </c>
      <c r="AG3">
        <f t="shared" si="4"/>
        <v>0</v>
      </c>
      <c r="AH3">
        <f t="shared" si="4"/>
        <v>0</v>
      </c>
    </row>
    <row r="4" spans="1:34">
      <c r="A4">
        <v>1961</v>
      </c>
      <c r="B4">
        <v>6</v>
      </c>
      <c r="C4" s="1" t="s">
        <v>66</v>
      </c>
      <c r="D4" t="s">
        <v>70</v>
      </c>
      <c r="E4" t="s">
        <v>13</v>
      </c>
      <c r="G4">
        <v>1961</v>
      </c>
      <c r="H4">
        <v>11</v>
      </c>
      <c r="I4">
        <f>11*(6/12)</f>
        <v>5.5</v>
      </c>
      <c r="J4">
        <f t="shared" si="1"/>
        <v>5.1333333333333337</v>
      </c>
      <c r="N4">
        <f t="shared" si="2"/>
        <v>0.36666666666666664</v>
      </c>
      <c r="U4">
        <f t="shared" si="3"/>
        <v>5.5</v>
      </c>
      <c r="W4">
        <v>1961</v>
      </c>
      <c r="X4">
        <f t="shared" ref="X4:X67" si="5">X3+J4</f>
        <v>-11.666666666666668</v>
      </c>
      <c r="Y4">
        <f t="shared" ref="Y4:Y67" si="6">Y3+K4</f>
        <v>0</v>
      </c>
      <c r="Z4">
        <f t="shared" ref="Z4:Z67" si="7">Z3+L4</f>
        <v>0</v>
      </c>
      <c r="AA4">
        <f t="shared" ref="AA4:AA67" si="8">AA3+M4</f>
        <v>0</v>
      </c>
      <c r="AB4">
        <f t="shared" ref="AB4:AB67" si="9">AB3+N4</f>
        <v>-0.83333333333333326</v>
      </c>
      <c r="AC4">
        <f t="shared" ref="AC4:AC67" si="10">AC3+O4</f>
        <v>0</v>
      </c>
      <c r="AD4">
        <f t="shared" ref="AD4:AD67" si="11">AD3+P4</f>
        <v>0</v>
      </c>
      <c r="AE4">
        <f t="shared" ref="AE4:AE67" si="12">AE3+Q4</f>
        <v>0</v>
      </c>
      <c r="AF4">
        <f t="shared" ref="AF4:AF67" si="13">AF3+R4</f>
        <v>0</v>
      </c>
      <c r="AG4">
        <f t="shared" ref="AG4:AG67" si="14">AG3+S4</f>
        <v>0</v>
      </c>
      <c r="AH4">
        <f t="shared" ref="AH4:AH67" si="15">AH3+T4</f>
        <v>0</v>
      </c>
    </row>
    <row r="5" spans="1:34">
      <c r="A5">
        <v>1961</v>
      </c>
      <c r="B5">
        <v>6</v>
      </c>
      <c r="C5" s="1" t="s">
        <v>68</v>
      </c>
      <c r="D5" t="s">
        <v>70</v>
      </c>
      <c r="E5" t="s">
        <v>13</v>
      </c>
      <c r="G5">
        <v>1961</v>
      </c>
      <c r="H5">
        <v>11</v>
      </c>
      <c r="I5">
        <f>11*(6/12)</f>
        <v>5.5</v>
      </c>
      <c r="J5">
        <f>I5*(14/15)</f>
        <v>5.1333333333333337</v>
      </c>
      <c r="T5">
        <f>I5*(1/15)</f>
        <v>0.36666666666666664</v>
      </c>
      <c r="U5">
        <f t="shared" si="3"/>
        <v>5.5</v>
      </c>
      <c r="W5">
        <v>1961</v>
      </c>
      <c r="X5">
        <f t="shared" si="5"/>
        <v>-6.5333333333333341</v>
      </c>
      <c r="Y5">
        <f t="shared" si="6"/>
        <v>0</v>
      </c>
      <c r="Z5">
        <f t="shared" si="7"/>
        <v>0</v>
      </c>
      <c r="AA5">
        <f t="shared" si="8"/>
        <v>0</v>
      </c>
      <c r="AB5">
        <f t="shared" si="9"/>
        <v>-0.83333333333333326</v>
      </c>
      <c r="AC5">
        <f t="shared" si="10"/>
        <v>0</v>
      </c>
      <c r="AD5">
        <f t="shared" si="11"/>
        <v>0</v>
      </c>
      <c r="AE5">
        <f t="shared" si="12"/>
        <v>0</v>
      </c>
      <c r="AF5">
        <f t="shared" si="13"/>
        <v>0</v>
      </c>
      <c r="AG5">
        <f t="shared" si="14"/>
        <v>0</v>
      </c>
      <c r="AH5">
        <f t="shared" si="15"/>
        <v>0.36666666666666664</v>
      </c>
    </row>
    <row r="6" spans="1:34">
      <c r="A6">
        <v>1962</v>
      </c>
      <c r="B6">
        <v>3</v>
      </c>
      <c r="C6" s="1" t="s">
        <v>68</v>
      </c>
      <c r="D6" t="s">
        <v>70</v>
      </c>
      <c r="E6" t="s">
        <v>13</v>
      </c>
      <c r="G6">
        <v>1962</v>
      </c>
      <c r="H6">
        <v>60</v>
      </c>
      <c r="I6">
        <f>60*(3/12)</f>
        <v>15</v>
      </c>
      <c r="J6">
        <f>I6*(14/15)</f>
        <v>14</v>
      </c>
      <c r="T6">
        <f>I6*(1/15)</f>
        <v>1</v>
      </c>
      <c r="U6">
        <f t="shared" si="3"/>
        <v>15</v>
      </c>
      <c r="W6">
        <v>1962</v>
      </c>
      <c r="X6">
        <f t="shared" si="5"/>
        <v>7.4666666666666659</v>
      </c>
      <c r="Y6">
        <f t="shared" si="6"/>
        <v>0</v>
      </c>
      <c r="Z6">
        <f t="shared" si="7"/>
        <v>0</v>
      </c>
      <c r="AA6">
        <f t="shared" si="8"/>
        <v>0</v>
      </c>
      <c r="AB6">
        <f t="shared" si="9"/>
        <v>-0.83333333333333326</v>
      </c>
      <c r="AC6">
        <f t="shared" si="10"/>
        <v>0</v>
      </c>
      <c r="AD6">
        <f t="shared" si="11"/>
        <v>0</v>
      </c>
      <c r="AE6">
        <f t="shared" si="12"/>
        <v>0</v>
      </c>
      <c r="AF6">
        <f t="shared" si="13"/>
        <v>0</v>
      </c>
      <c r="AG6">
        <f t="shared" si="14"/>
        <v>0</v>
      </c>
      <c r="AH6">
        <f t="shared" si="15"/>
        <v>1.3666666666666667</v>
      </c>
    </row>
    <row r="7" spans="1:34">
      <c r="A7">
        <v>1962</v>
      </c>
      <c r="B7">
        <v>9</v>
      </c>
      <c r="C7" s="1" t="s">
        <v>69</v>
      </c>
      <c r="D7" t="s">
        <v>70</v>
      </c>
      <c r="E7" t="s">
        <v>13</v>
      </c>
      <c r="G7">
        <v>1962</v>
      </c>
      <c r="H7">
        <v>60</v>
      </c>
      <c r="I7">
        <f>60*(9/12)</f>
        <v>45</v>
      </c>
      <c r="J7">
        <f>I7*(5/15)</f>
        <v>15</v>
      </c>
      <c r="K7">
        <f>I7*(3/15)</f>
        <v>9</v>
      </c>
      <c r="M7">
        <f>I7*(3/15)</f>
        <v>9</v>
      </c>
      <c r="N7">
        <f>I7*(2/15)</f>
        <v>6</v>
      </c>
      <c r="O7">
        <f>I7*(2/15)</f>
        <v>6</v>
      </c>
      <c r="U7">
        <f t="shared" si="3"/>
        <v>45</v>
      </c>
      <c r="W7">
        <v>1962</v>
      </c>
      <c r="X7">
        <f t="shared" si="5"/>
        <v>22.466666666666665</v>
      </c>
      <c r="Y7">
        <f t="shared" si="6"/>
        <v>9</v>
      </c>
      <c r="Z7">
        <f t="shared" si="7"/>
        <v>0</v>
      </c>
      <c r="AA7">
        <f t="shared" si="8"/>
        <v>9</v>
      </c>
      <c r="AB7">
        <f t="shared" si="9"/>
        <v>5.166666666666667</v>
      </c>
      <c r="AC7">
        <f t="shared" si="10"/>
        <v>6</v>
      </c>
      <c r="AD7">
        <f t="shared" si="11"/>
        <v>0</v>
      </c>
      <c r="AE7">
        <f t="shared" si="12"/>
        <v>0</v>
      </c>
      <c r="AF7">
        <f t="shared" si="13"/>
        <v>0</v>
      </c>
      <c r="AG7">
        <f t="shared" si="14"/>
        <v>0</v>
      </c>
      <c r="AH7">
        <f t="shared" si="15"/>
        <v>1.3666666666666667</v>
      </c>
    </row>
    <row r="8" spans="1:34">
      <c r="A8">
        <v>1963</v>
      </c>
      <c r="B8">
        <v>12</v>
      </c>
      <c r="C8" s="1" t="s">
        <v>69</v>
      </c>
      <c r="D8" t="s">
        <v>70</v>
      </c>
      <c r="E8" t="s">
        <v>13</v>
      </c>
      <c r="G8">
        <v>1963</v>
      </c>
      <c r="H8">
        <v>97</v>
      </c>
      <c r="I8">
        <v>97</v>
      </c>
      <c r="J8">
        <f>I8*(5/15)</f>
        <v>32.333333333333329</v>
      </c>
      <c r="K8">
        <f>I8*(3/15)</f>
        <v>19.400000000000002</v>
      </c>
      <c r="M8">
        <f>I8*(3/15)</f>
        <v>19.400000000000002</v>
      </c>
      <c r="N8">
        <f>I8*(2/15)</f>
        <v>12.933333333333334</v>
      </c>
      <c r="O8">
        <f>I8*(2/15)</f>
        <v>12.933333333333334</v>
      </c>
      <c r="U8">
        <f t="shared" si="3"/>
        <v>97.000000000000014</v>
      </c>
      <c r="W8">
        <v>1963</v>
      </c>
      <c r="X8">
        <f t="shared" si="5"/>
        <v>54.8</v>
      </c>
      <c r="Y8">
        <f t="shared" si="6"/>
        <v>28.400000000000002</v>
      </c>
      <c r="Z8">
        <f t="shared" si="7"/>
        <v>0</v>
      </c>
      <c r="AA8">
        <f t="shared" si="8"/>
        <v>28.400000000000002</v>
      </c>
      <c r="AB8">
        <f t="shared" si="9"/>
        <v>18.100000000000001</v>
      </c>
      <c r="AC8">
        <f t="shared" si="10"/>
        <v>18.933333333333334</v>
      </c>
      <c r="AD8">
        <f t="shared" si="11"/>
        <v>0</v>
      </c>
      <c r="AE8">
        <f t="shared" si="12"/>
        <v>0</v>
      </c>
      <c r="AF8">
        <f t="shared" si="13"/>
        <v>0</v>
      </c>
      <c r="AG8">
        <f t="shared" si="14"/>
        <v>0</v>
      </c>
      <c r="AH8">
        <f t="shared" si="15"/>
        <v>1.3666666666666667</v>
      </c>
    </row>
    <row r="9" spans="1:34">
      <c r="A9">
        <v>1964</v>
      </c>
      <c r="B9">
        <v>8</v>
      </c>
      <c r="C9" s="1" t="s">
        <v>73</v>
      </c>
      <c r="D9" t="s">
        <v>16</v>
      </c>
      <c r="E9" t="s">
        <v>16</v>
      </c>
      <c r="G9">
        <v>1964</v>
      </c>
      <c r="H9">
        <v>66</v>
      </c>
      <c r="I9">
        <v>44</v>
      </c>
      <c r="T9">
        <f>I9</f>
        <v>44</v>
      </c>
      <c r="U9">
        <f t="shared" si="3"/>
        <v>44</v>
      </c>
      <c r="W9">
        <v>1964</v>
      </c>
      <c r="X9">
        <f t="shared" si="5"/>
        <v>54.8</v>
      </c>
      <c r="Y9">
        <f t="shared" si="6"/>
        <v>28.400000000000002</v>
      </c>
      <c r="Z9">
        <f t="shared" si="7"/>
        <v>0</v>
      </c>
      <c r="AA9">
        <f t="shared" si="8"/>
        <v>28.400000000000002</v>
      </c>
      <c r="AB9">
        <f t="shared" si="9"/>
        <v>18.100000000000001</v>
      </c>
      <c r="AC9">
        <f t="shared" si="10"/>
        <v>18.933333333333334</v>
      </c>
      <c r="AD9">
        <f t="shared" si="11"/>
        <v>0</v>
      </c>
      <c r="AE9">
        <f t="shared" si="12"/>
        <v>0</v>
      </c>
      <c r="AF9">
        <f t="shared" si="13"/>
        <v>0</v>
      </c>
      <c r="AG9">
        <f t="shared" si="14"/>
        <v>0</v>
      </c>
      <c r="AH9">
        <f t="shared" si="15"/>
        <v>45.366666666666667</v>
      </c>
    </row>
    <row r="10" spans="1:34">
      <c r="A10">
        <v>1964</v>
      </c>
      <c r="B10">
        <v>4</v>
      </c>
      <c r="C10" s="1" t="s">
        <v>74</v>
      </c>
      <c r="D10" t="s">
        <v>18</v>
      </c>
      <c r="E10" t="s">
        <v>13</v>
      </c>
      <c r="G10">
        <v>1964</v>
      </c>
      <c r="H10">
        <v>66</v>
      </c>
      <c r="I10">
        <f>66*(4/12)</f>
        <v>22</v>
      </c>
      <c r="J10">
        <f>I10*(7/15)</f>
        <v>10.266666666666667</v>
      </c>
      <c r="K10">
        <f>I10*(3/15)</f>
        <v>4.4000000000000004</v>
      </c>
      <c r="N10">
        <f>I10*(2/15)</f>
        <v>2.9333333333333331</v>
      </c>
      <c r="O10">
        <f>I10*(2/15)</f>
        <v>2.9333333333333331</v>
      </c>
      <c r="T10">
        <f>I10*(1/15)</f>
        <v>1.4666666666666666</v>
      </c>
      <c r="U10">
        <f t="shared" si="3"/>
        <v>22</v>
      </c>
      <c r="W10">
        <v>1964</v>
      </c>
      <c r="X10">
        <f t="shared" si="5"/>
        <v>65.066666666666663</v>
      </c>
      <c r="Y10">
        <f t="shared" si="6"/>
        <v>32.800000000000004</v>
      </c>
      <c r="Z10">
        <f t="shared" si="7"/>
        <v>0</v>
      </c>
      <c r="AA10">
        <f t="shared" si="8"/>
        <v>28.400000000000002</v>
      </c>
      <c r="AB10">
        <f t="shared" si="9"/>
        <v>21.033333333333335</v>
      </c>
      <c r="AC10">
        <f t="shared" si="10"/>
        <v>21.866666666666667</v>
      </c>
      <c r="AD10">
        <f t="shared" si="11"/>
        <v>0</v>
      </c>
      <c r="AE10">
        <f t="shared" si="12"/>
        <v>0</v>
      </c>
      <c r="AF10">
        <f t="shared" si="13"/>
        <v>0</v>
      </c>
      <c r="AG10">
        <f t="shared" si="14"/>
        <v>0</v>
      </c>
      <c r="AH10">
        <f t="shared" si="15"/>
        <v>46.833333333333336</v>
      </c>
    </row>
    <row r="11" spans="1:34">
      <c r="A11">
        <v>1965</v>
      </c>
      <c r="B11">
        <v>12</v>
      </c>
      <c r="C11" s="1" t="s">
        <v>74</v>
      </c>
      <c r="D11" t="s">
        <v>18</v>
      </c>
      <c r="E11" t="s">
        <v>13</v>
      </c>
      <c r="G11">
        <v>1965</v>
      </c>
      <c r="H11">
        <v>75</v>
      </c>
      <c r="I11">
        <v>75</v>
      </c>
      <c r="J11">
        <f t="shared" ref="J11:J12" si="16">I11*(7/15)</f>
        <v>35</v>
      </c>
      <c r="K11">
        <f t="shared" ref="K11:K12" si="17">I11*(3/15)</f>
        <v>15</v>
      </c>
      <c r="N11">
        <f t="shared" ref="N11:N12" si="18">I11*(2/15)</f>
        <v>10</v>
      </c>
      <c r="O11">
        <f t="shared" ref="O11:O12" si="19">I11*(2/15)</f>
        <v>10</v>
      </c>
      <c r="T11">
        <f t="shared" ref="T11:T12" si="20">I11*(1/15)</f>
        <v>5</v>
      </c>
      <c r="U11">
        <f t="shared" si="3"/>
        <v>75</v>
      </c>
      <c r="W11">
        <v>1965</v>
      </c>
      <c r="X11">
        <f t="shared" si="5"/>
        <v>100.06666666666666</v>
      </c>
      <c r="Y11">
        <f t="shared" si="6"/>
        <v>47.800000000000004</v>
      </c>
      <c r="Z11">
        <f t="shared" si="7"/>
        <v>0</v>
      </c>
      <c r="AA11">
        <f t="shared" si="8"/>
        <v>28.400000000000002</v>
      </c>
      <c r="AB11">
        <f t="shared" si="9"/>
        <v>31.033333333333335</v>
      </c>
      <c r="AC11">
        <f t="shared" si="10"/>
        <v>31.866666666666667</v>
      </c>
      <c r="AD11">
        <f t="shared" si="11"/>
        <v>0</v>
      </c>
      <c r="AE11">
        <f t="shared" si="12"/>
        <v>0</v>
      </c>
      <c r="AF11">
        <f t="shared" si="13"/>
        <v>0</v>
      </c>
      <c r="AG11">
        <f t="shared" si="14"/>
        <v>0</v>
      </c>
      <c r="AH11">
        <f t="shared" si="15"/>
        <v>51.833333333333336</v>
      </c>
    </row>
    <row r="12" spans="1:34">
      <c r="A12">
        <v>1966</v>
      </c>
      <c r="B12">
        <v>5</v>
      </c>
      <c r="C12" s="1" t="s">
        <v>74</v>
      </c>
      <c r="D12" t="s">
        <v>18</v>
      </c>
      <c r="E12" t="s">
        <v>13</v>
      </c>
      <c r="G12">
        <v>1966</v>
      </c>
      <c r="H12">
        <v>81</v>
      </c>
      <c r="I12">
        <f>81*(5/12)</f>
        <v>33.75</v>
      </c>
      <c r="J12">
        <f t="shared" si="16"/>
        <v>15.75</v>
      </c>
      <c r="K12">
        <f t="shared" si="17"/>
        <v>6.75</v>
      </c>
      <c r="N12">
        <f t="shared" si="18"/>
        <v>4.5</v>
      </c>
      <c r="O12">
        <f t="shared" si="19"/>
        <v>4.5</v>
      </c>
      <c r="T12">
        <f t="shared" si="20"/>
        <v>2.25</v>
      </c>
      <c r="U12">
        <f t="shared" si="3"/>
        <v>33.75</v>
      </c>
      <c r="W12">
        <v>1966</v>
      </c>
      <c r="X12">
        <f t="shared" si="5"/>
        <v>115.81666666666666</v>
      </c>
      <c r="Y12">
        <f t="shared" si="6"/>
        <v>54.550000000000004</v>
      </c>
      <c r="Z12">
        <f t="shared" si="7"/>
        <v>0</v>
      </c>
      <c r="AA12">
        <f t="shared" si="8"/>
        <v>28.400000000000002</v>
      </c>
      <c r="AB12">
        <f t="shared" si="9"/>
        <v>35.533333333333331</v>
      </c>
      <c r="AC12">
        <f t="shared" si="10"/>
        <v>36.366666666666667</v>
      </c>
      <c r="AD12">
        <f t="shared" si="11"/>
        <v>0</v>
      </c>
      <c r="AE12">
        <f t="shared" si="12"/>
        <v>0</v>
      </c>
      <c r="AF12">
        <f t="shared" si="13"/>
        <v>0</v>
      </c>
      <c r="AG12">
        <f t="shared" si="14"/>
        <v>0</v>
      </c>
      <c r="AH12">
        <f t="shared" si="15"/>
        <v>54.083333333333336</v>
      </c>
    </row>
    <row r="13" spans="1:34">
      <c r="A13">
        <v>1966</v>
      </c>
      <c r="B13">
        <v>7</v>
      </c>
      <c r="C13" s="1" t="s">
        <v>65</v>
      </c>
      <c r="D13" t="s">
        <v>12</v>
      </c>
      <c r="E13" t="s">
        <v>13</v>
      </c>
      <c r="G13">
        <v>1966</v>
      </c>
      <c r="H13">
        <v>81</v>
      </c>
      <c r="I13">
        <f>81*(7/12)</f>
        <v>47.25</v>
      </c>
      <c r="J13">
        <f>I13*(5/15)</f>
        <v>15.75</v>
      </c>
      <c r="L13">
        <f>I13*(6/15)</f>
        <v>18.900000000000002</v>
      </c>
      <c r="M13">
        <f>I13*(1/15)</f>
        <v>3.15</v>
      </c>
      <c r="P13">
        <f>I13*(3/15)</f>
        <v>9.4500000000000011</v>
      </c>
      <c r="U13">
        <f t="shared" si="3"/>
        <v>47.250000000000007</v>
      </c>
      <c r="W13">
        <v>1966</v>
      </c>
      <c r="X13">
        <f t="shared" si="5"/>
        <v>131.56666666666666</v>
      </c>
      <c r="Y13">
        <f t="shared" si="6"/>
        <v>54.550000000000004</v>
      </c>
      <c r="Z13">
        <f t="shared" si="7"/>
        <v>18.900000000000002</v>
      </c>
      <c r="AA13">
        <f t="shared" si="8"/>
        <v>31.55</v>
      </c>
      <c r="AB13">
        <f t="shared" si="9"/>
        <v>35.533333333333331</v>
      </c>
      <c r="AC13">
        <f t="shared" si="10"/>
        <v>36.366666666666667</v>
      </c>
      <c r="AD13">
        <f t="shared" si="11"/>
        <v>9.4500000000000011</v>
      </c>
      <c r="AE13">
        <f t="shared" si="12"/>
        <v>0</v>
      </c>
      <c r="AF13">
        <f t="shared" si="13"/>
        <v>0</v>
      </c>
      <c r="AG13">
        <f t="shared" si="14"/>
        <v>0</v>
      </c>
      <c r="AH13">
        <f t="shared" si="15"/>
        <v>54.083333333333336</v>
      </c>
    </row>
    <row r="14" spans="1:34">
      <c r="A14">
        <v>1967</v>
      </c>
      <c r="B14">
        <v>12</v>
      </c>
      <c r="C14" s="1" t="s">
        <v>65</v>
      </c>
      <c r="D14" t="s">
        <v>12</v>
      </c>
      <c r="E14" t="s">
        <v>13</v>
      </c>
      <c r="G14">
        <v>1967</v>
      </c>
      <c r="H14">
        <v>84</v>
      </c>
      <c r="I14">
        <v>84</v>
      </c>
      <c r="J14">
        <f t="shared" ref="J14:J15" si="21">I14*(5/15)</f>
        <v>28</v>
      </c>
      <c r="L14">
        <f t="shared" ref="L14:L15" si="22">I14*(6/15)</f>
        <v>33.6</v>
      </c>
      <c r="M14">
        <f t="shared" ref="M14:M15" si="23">I14*(1/15)</f>
        <v>5.6</v>
      </c>
      <c r="P14">
        <f t="shared" ref="P14:P15" si="24">I14*(3/15)</f>
        <v>16.8</v>
      </c>
      <c r="U14">
        <f t="shared" si="3"/>
        <v>84</v>
      </c>
      <c r="W14">
        <v>1967</v>
      </c>
      <c r="X14">
        <f t="shared" si="5"/>
        <v>159.56666666666666</v>
      </c>
      <c r="Y14">
        <f t="shared" si="6"/>
        <v>54.550000000000004</v>
      </c>
      <c r="Z14">
        <f t="shared" si="7"/>
        <v>52.5</v>
      </c>
      <c r="AA14">
        <f t="shared" si="8"/>
        <v>37.15</v>
      </c>
      <c r="AB14">
        <f t="shared" si="9"/>
        <v>35.533333333333331</v>
      </c>
      <c r="AC14">
        <f t="shared" si="10"/>
        <v>36.366666666666667</v>
      </c>
      <c r="AD14">
        <f t="shared" si="11"/>
        <v>26.25</v>
      </c>
      <c r="AE14">
        <f t="shared" si="12"/>
        <v>0</v>
      </c>
      <c r="AF14">
        <f t="shared" si="13"/>
        <v>0</v>
      </c>
      <c r="AG14">
        <f t="shared" si="14"/>
        <v>0</v>
      </c>
      <c r="AH14">
        <f t="shared" si="15"/>
        <v>54.083333333333336</v>
      </c>
    </row>
    <row r="15" spans="1:34">
      <c r="A15">
        <v>1968</v>
      </c>
      <c r="B15">
        <v>3</v>
      </c>
      <c r="C15" s="1" t="s">
        <v>65</v>
      </c>
      <c r="D15" t="s">
        <v>12</v>
      </c>
      <c r="E15" t="s">
        <v>13</v>
      </c>
      <c r="G15">
        <v>1968</v>
      </c>
      <c r="H15">
        <v>95</v>
      </c>
      <c r="I15">
        <f>95*(3/12)</f>
        <v>23.75</v>
      </c>
      <c r="J15">
        <f t="shared" si="21"/>
        <v>7.9166666666666661</v>
      </c>
      <c r="L15">
        <f t="shared" si="22"/>
        <v>9.5</v>
      </c>
      <c r="M15">
        <f t="shared" si="23"/>
        <v>1.5833333333333333</v>
      </c>
      <c r="P15">
        <f t="shared" si="24"/>
        <v>4.75</v>
      </c>
      <c r="U15">
        <f t="shared" si="3"/>
        <v>23.749999999999996</v>
      </c>
      <c r="W15">
        <v>1968</v>
      </c>
      <c r="X15">
        <f t="shared" si="5"/>
        <v>167.48333333333332</v>
      </c>
      <c r="Y15">
        <f t="shared" si="6"/>
        <v>54.550000000000004</v>
      </c>
      <c r="Z15">
        <f t="shared" si="7"/>
        <v>62</v>
      </c>
      <c r="AA15">
        <f t="shared" si="8"/>
        <v>38.733333333333334</v>
      </c>
      <c r="AB15">
        <f t="shared" si="9"/>
        <v>35.533333333333331</v>
      </c>
      <c r="AC15">
        <f t="shared" si="10"/>
        <v>36.366666666666667</v>
      </c>
      <c r="AD15">
        <f t="shared" si="11"/>
        <v>31</v>
      </c>
      <c r="AE15">
        <f t="shared" si="12"/>
        <v>0</v>
      </c>
      <c r="AF15">
        <f t="shared" si="13"/>
        <v>0</v>
      </c>
      <c r="AG15">
        <f t="shared" si="14"/>
        <v>0</v>
      </c>
      <c r="AH15">
        <f t="shared" si="15"/>
        <v>54.083333333333336</v>
      </c>
    </row>
    <row r="16" spans="1:34">
      <c r="A16">
        <v>1968</v>
      </c>
      <c r="B16">
        <v>9</v>
      </c>
      <c r="C16" s="1" t="s">
        <v>10</v>
      </c>
      <c r="D16" t="s">
        <v>12</v>
      </c>
      <c r="E16" t="s">
        <v>13</v>
      </c>
      <c r="G16">
        <v>1968</v>
      </c>
      <c r="H16">
        <v>95</v>
      </c>
      <c r="I16">
        <f>95*(9/12)</f>
        <v>71.25</v>
      </c>
      <c r="J16">
        <f>I16*(4/15)</f>
        <v>19</v>
      </c>
      <c r="L16">
        <f>I16*(6/15)</f>
        <v>28.5</v>
      </c>
      <c r="M16">
        <f>I16*(1/15)</f>
        <v>4.75</v>
      </c>
      <c r="N16">
        <f>I16*(1/15)</f>
        <v>4.75</v>
      </c>
      <c r="P16">
        <f>I16*(3/15)</f>
        <v>14.25</v>
      </c>
      <c r="U16">
        <f t="shared" si="3"/>
        <v>71.25</v>
      </c>
      <c r="W16">
        <v>1968</v>
      </c>
      <c r="X16">
        <f t="shared" si="5"/>
        <v>186.48333333333332</v>
      </c>
      <c r="Y16">
        <f t="shared" si="6"/>
        <v>54.550000000000004</v>
      </c>
      <c r="Z16">
        <f t="shared" si="7"/>
        <v>90.5</v>
      </c>
      <c r="AA16">
        <f t="shared" si="8"/>
        <v>43.483333333333334</v>
      </c>
      <c r="AB16">
        <f t="shared" si="9"/>
        <v>40.283333333333331</v>
      </c>
      <c r="AC16">
        <f t="shared" si="10"/>
        <v>36.366666666666667</v>
      </c>
      <c r="AD16">
        <f t="shared" si="11"/>
        <v>45.25</v>
      </c>
      <c r="AE16">
        <f t="shared" si="12"/>
        <v>0</v>
      </c>
      <c r="AF16">
        <f t="shared" si="13"/>
        <v>0</v>
      </c>
      <c r="AG16">
        <f t="shared" si="14"/>
        <v>0</v>
      </c>
      <c r="AH16">
        <f t="shared" si="15"/>
        <v>54.083333333333336</v>
      </c>
    </row>
    <row r="17" spans="1:34">
      <c r="A17">
        <v>1969</v>
      </c>
      <c r="B17">
        <v>12</v>
      </c>
      <c r="C17" s="1" t="s">
        <v>10</v>
      </c>
      <c r="D17" t="s">
        <v>12</v>
      </c>
      <c r="E17" t="s">
        <v>13</v>
      </c>
      <c r="G17">
        <v>1969</v>
      </c>
      <c r="H17">
        <v>-96</v>
      </c>
      <c r="I17">
        <v>-96</v>
      </c>
      <c r="J17">
        <f t="shared" ref="J17:J18" si="25">I17*(4/15)</f>
        <v>-25.6</v>
      </c>
      <c r="L17">
        <f t="shared" ref="L17:L18" si="26">I17*(6/15)</f>
        <v>-38.400000000000006</v>
      </c>
      <c r="M17">
        <f t="shared" ref="M17:M18" si="27">I17*(1/15)</f>
        <v>-6.4</v>
      </c>
      <c r="N17">
        <f t="shared" ref="N17:N18" si="28">I17*(1/15)</f>
        <v>-6.4</v>
      </c>
      <c r="P17">
        <f t="shared" ref="P17:P18" si="29">I17*(3/15)</f>
        <v>-19.200000000000003</v>
      </c>
      <c r="U17">
        <f t="shared" si="3"/>
        <v>-96.000000000000014</v>
      </c>
      <c r="W17">
        <v>1969</v>
      </c>
      <c r="X17">
        <f t="shared" si="5"/>
        <v>160.88333333333333</v>
      </c>
      <c r="Y17">
        <f t="shared" si="6"/>
        <v>54.550000000000004</v>
      </c>
      <c r="Z17">
        <f t="shared" si="7"/>
        <v>52.099999999999994</v>
      </c>
      <c r="AA17">
        <f t="shared" si="8"/>
        <v>37.083333333333336</v>
      </c>
      <c r="AB17">
        <f t="shared" si="9"/>
        <v>33.883333333333333</v>
      </c>
      <c r="AC17">
        <f t="shared" si="10"/>
        <v>36.366666666666667</v>
      </c>
      <c r="AD17">
        <f t="shared" si="11"/>
        <v>26.049999999999997</v>
      </c>
      <c r="AE17">
        <f t="shared" si="12"/>
        <v>0</v>
      </c>
      <c r="AF17">
        <f t="shared" si="13"/>
        <v>0</v>
      </c>
      <c r="AG17">
        <f t="shared" si="14"/>
        <v>0</v>
      </c>
      <c r="AH17">
        <f t="shared" si="15"/>
        <v>54.083333333333336</v>
      </c>
    </row>
    <row r="18" spans="1:34">
      <c r="A18">
        <v>1970</v>
      </c>
      <c r="B18">
        <v>4</v>
      </c>
      <c r="C18" s="1" t="s">
        <v>10</v>
      </c>
      <c r="D18" t="s">
        <v>12</v>
      </c>
      <c r="E18" t="s">
        <v>13</v>
      </c>
      <c r="G18">
        <v>1970</v>
      </c>
      <c r="H18">
        <v>-37</v>
      </c>
      <c r="I18">
        <f>-37*(4/12)</f>
        <v>-12.333333333333332</v>
      </c>
      <c r="J18">
        <f t="shared" si="25"/>
        <v>-3.2888888888888883</v>
      </c>
      <c r="L18">
        <f t="shared" si="26"/>
        <v>-4.9333333333333336</v>
      </c>
      <c r="M18">
        <f t="shared" si="27"/>
        <v>-0.82222222222222208</v>
      </c>
      <c r="N18">
        <f t="shared" si="28"/>
        <v>-0.82222222222222208</v>
      </c>
      <c r="P18">
        <f t="shared" si="29"/>
        <v>-2.4666666666666668</v>
      </c>
      <c r="U18">
        <f t="shared" si="3"/>
        <v>-12.333333333333334</v>
      </c>
      <c r="W18">
        <v>1970</v>
      </c>
      <c r="X18">
        <f t="shared" si="5"/>
        <v>157.59444444444443</v>
      </c>
      <c r="Y18">
        <f t="shared" si="6"/>
        <v>54.550000000000004</v>
      </c>
      <c r="Z18">
        <f t="shared" si="7"/>
        <v>47.166666666666657</v>
      </c>
      <c r="AA18">
        <f t="shared" si="8"/>
        <v>36.261111111111113</v>
      </c>
      <c r="AB18">
        <f t="shared" si="9"/>
        <v>33.06111111111111</v>
      </c>
      <c r="AC18">
        <f t="shared" si="10"/>
        <v>36.366666666666667</v>
      </c>
      <c r="AD18">
        <f t="shared" si="11"/>
        <v>23.583333333333329</v>
      </c>
      <c r="AE18">
        <f t="shared" si="12"/>
        <v>0</v>
      </c>
      <c r="AF18">
        <f t="shared" si="13"/>
        <v>0</v>
      </c>
      <c r="AG18">
        <f t="shared" si="14"/>
        <v>0</v>
      </c>
      <c r="AH18">
        <f t="shared" si="15"/>
        <v>54.083333333333336</v>
      </c>
    </row>
    <row r="19" spans="1:34">
      <c r="A19">
        <v>1970</v>
      </c>
      <c r="B19">
        <v>3</v>
      </c>
      <c r="C19" s="1" t="s">
        <v>1</v>
      </c>
      <c r="D19" t="s">
        <v>16</v>
      </c>
      <c r="E19" t="s">
        <v>16</v>
      </c>
      <c r="G19">
        <v>1970</v>
      </c>
      <c r="H19">
        <v>-37</v>
      </c>
      <c r="I19">
        <f>-37*(3/12)</f>
        <v>-9.25</v>
      </c>
      <c r="T19">
        <f>-37*(3/12)</f>
        <v>-9.25</v>
      </c>
      <c r="U19">
        <f t="shared" si="3"/>
        <v>-9.25</v>
      </c>
      <c r="W19">
        <v>1970</v>
      </c>
      <c r="X19">
        <f t="shared" si="5"/>
        <v>157.59444444444443</v>
      </c>
      <c r="Y19">
        <f t="shared" si="6"/>
        <v>54.550000000000004</v>
      </c>
      <c r="Z19">
        <f t="shared" si="7"/>
        <v>47.166666666666657</v>
      </c>
      <c r="AA19">
        <f t="shared" si="8"/>
        <v>36.261111111111113</v>
      </c>
      <c r="AB19">
        <f t="shared" si="9"/>
        <v>33.06111111111111</v>
      </c>
      <c r="AC19">
        <f t="shared" si="10"/>
        <v>36.366666666666667</v>
      </c>
      <c r="AD19">
        <f t="shared" si="11"/>
        <v>23.583333333333329</v>
      </c>
      <c r="AE19">
        <f t="shared" si="12"/>
        <v>0</v>
      </c>
      <c r="AF19">
        <f t="shared" si="13"/>
        <v>0</v>
      </c>
      <c r="AG19">
        <f t="shared" si="14"/>
        <v>0</v>
      </c>
      <c r="AH19">
        <f t="shared" si="15"/>
        <v>44.833333333333336</v>
      </c>
    </row>
    <row r="20" spans="1:34">
      <c r="A20">
        <v>1970</v>
      </c>
      <c r="B20">
        <v>5</v>
      </c>
      <c r="C20" s="1" t="s">
        <v>2</v>
      </c>
      <c r="D20" t="s">
        <v>18</v>
      </c>
      <c r="E20" t="s">
        <v>13</v>
      </c>
      <c r="G20">
        <v>1970</v>
      </c>
      <c r="H20">
        <v>-37</v>
      </c>
      <c r="I20">
        <f>-37*(5/12)</f>
        <v>-15.416666666666668</v>
      </c>
      <c r="J20">
        <f>I20*(4/16)</f>
        <v>-3.854166666666667</v>
      </c>
      <c r="L20">
        <f>I20*(5/16)</f>
        <v>-4.8177083333333339</v>
      </c>
      <c r="N20">
        <f>I20*(2/16)</f>
        <v>-1.9270833333333335</v>
      </c>
      <c r="O20">
        <f>I20*(2/16)</f>
        <v>-1.9270833333333335</v>
      </c>
      <c r="P20">
        <f>I20*(3/16)</f>
        <v>-2.890625</v>
      </c>
      <c r="U20">
        <f t="shared" si="3"/>
        <v>-15.416666666666668</v>
      </c>
      <c r="W20">
        <v>1970</v>
      </c>
      <c r="X20">
        <f t="shared" si="5"/>
        <v>153.74027777777778</v>
      </c>
      <c r="Y20">
        <f t="shared" si="6"/>
        <v>54.550000000000004</v>
      </c>
      <c r="Z20">
        <f t="shared" si="7"/>
        <v>42.348958333333321</v>
      </c>
      <c r="AA20">
        <f t="shared" si="8"/>
        <v>36.261111111111113</v>
      </c>
      <c r="AB20">
        <f t="shared" si="9"/>
        <v>31.134027777777778</v>
      </c>
      <c r="AC20">
        <f t="shared" si="10"/>
        <v>34.439583333333331</v>
      </c>
      <c r="AD20">
        <f t="shared" si="11"/>
        <v>20.692708333333329</v>
      </c>
      <c r="AE20">
        <f t="shared" si="12"/>
        <v>0</v>
      </c>
      <c r="AF20">
        <f t="shared" si="13"/>
        <v>0</v>
      </c>
      <c r="AG20">
        <f t="shared" si="14"/>
        <v>0</v>
      </c>
      <c r="AH20">
        <f t="shared" si="15"/>
        <v>44.833333333333336</v>
      </c>
    </row>
    <row r="21" spans="1:34">
      <c r="A21">
        <v>1971</v>
      </c>
      <c r="B21">
        <v>10</v>
      </c>
      <c r="C21" s="1" t="s">
        <v>2</v>
      </c>
      <c r="D21" t="s">
        <v>18</v>
      </c>
      <c r="E21" t="s">
        <v>13</v>
      </c>
      <c r="G21">
        <v>1971</v>
      </c>
      <c r="H21">
        <v>-35</v>
      </c>
      <c r="I21">
        <f>-35*(10/12)</f>
        <v>-29.166666666666668</v>
      </c>
      <c r="J21">
        <f>I21*(4/16)</f>
        <v>-7.291666666666667</v>
      </c>
      <c r="L21">
        <f>I21*(5/16)</f>
        <v>-9.1145833333333339</v>
      </c>
      <c r="N21">
        <f>I21*(2/16)</f>
        <v>-3.6458333333333335</v>
      </c>
      <c r="O21">
        <f>I21*(2/16)</f>
        <v>-3.6458333333333335</v>
      </c>
      <c r="P21">
        <f>I21*(3/16)</f>
        <v>-5.46875</v>
      </c>
      <c r="U21">
        <f t="shared" si="3"/>
        <v>-29.166666666666664</v>
      </c>
      <c r="W21">
        <v>1971</v>
      </c>
      <c r="X21">
        <f t="shared" si="5"/>
        <v>146.44861111111112</v>
      </c>
      <c r="Y21">
        <f t="shared" si="6"/>
        <v>54.550000000000004</v>
      </c>
      <c r="Z21">
        <f t="shared" si="7"/>
        <v>33.234374999999986</v>
      </c>
      <c r="AA21">
        <f t="shared" si="8"/>
        <v>36.261111111111113</v>
      </c>
      <c r="AB21">
        <f t="shared" si="9"/>
        <v>27.488194444444446</v>
      </c>
      <c r="AC21">
        <f t="shared" si="10"/>
        <v>30.793749999999999</v>
      </c>
      <c r="AD21">
        <f t="shared" si="11"/>
        <v>15.223958333333329</v>
      </c>
      <c r="AE21">
        <f t="shared" si="12"/>
        <v>0</v>
      </c>
      <c r="AF21">
        <f t="shared" si="13"/>
        <v>0</v>
      </c>
      <c r="AG21">
        <f t="shared" si="14"/>
        <v>0</v>
      </c>
      <c r="AH21">
        <f t="shared" si="15"/>
        <v>44.833333333333336</v>
      </c>
    </row>
    <row r="22" spans="1:34">
      <c r="A22">
        <v>1971</v>
      </c>
      <c r="B22">
        <v>2</v>
      </c>
      <c r="C22" s="1" t="s">
        <v>3</v>
      </c>
      <c r="D22" t="s">
        <v>16</v>
      </c>
      <c r="E22" t="s">
        <v>16</v>
      </c>
      <c r="G22">
        <v>1971</v>
      </c>
      <c r="H22">
        <v>-35</v>
      </c>
      <c r="I22">
        <f>-35*(2/12)</f>
        <v>-5.833333333333333</v>
      </c>
      <c r="T22">
        <f>I22</f>
        <v>-5.833333333333333</v>
      </c>
      <c r="U22">
        <f t="shared" si="3"/>
        <v>-5.833333333333333</v>
      </c>
      <c r="W22">
        <v>1971</v>
      </c>
      <c r="X22">
        <f t="shared" si="5"/>
        <v>146.44861111111112</v>
      </c>
      <c r="Y22">
        <f t="shared" si="6"/>
        <v>54.550000000000004</v>
      </c>
      <c r="Z22">
        <f t="shared" si="7"/>
        <v>33.234374999999986</v>
      </c>
      <c r="AA22">
        <f t="shared" si="8"/>
        <v>36.261111111111113</v>
      </c>
      <c r="AB22">
        <f t="shared" si="9"/>
        <v>27.488194444444446</v>
      </c>
      <c r="AC22">
        <f t="shared" si="10"/>
        <v>30.793749999999999</v>
      </c>
      <c r="AD22">
        <f t="shared" si="11"/>
        <v>15.223958333333329</v>
      </c>
      <c r="AE22">
        <f t="shared" si="12"/>
        <v>0</v>
      </c>
      <c r="AF22">
        <f t="shared" si="13"/>
        <v>0</v>
      </c>
      <c r="AG22">
        <f t="shared" si="14"/>
        <v>0</v>
      </c>
      <c r="AH22">
        <f t="shared" si="15"/>
        <v>39</v>
      </c>
    </row>
    <row r="23" spans="1:34">
      <c r="A23">
        <v>1972</v>
      </c>
      <c r="B23">
        <v>2</v>
      </c>
      <c r="C23" s="1" t="s">
        <v>3</v>
      </c>
      <c r="D23" t="s">
        <v>16</v>
      </c>
      <c r="E23" t="s">
        <v>16</v>
      </c>
      <c r="G23">
        <v>1972</v>
      </c>
      <c r="H23">
        <v>-35</v>
      </c>
      <c r="I23">
        <f>-35*(2/12)</f>
        <v>-5.833333333333333</v>
      </c>
      <c r="T23">
        <f>I23</f>
        <v>-5.833333333333333</v>
      </c>
      <c r="U23">
        <f t="shared" si="3"/>
        <v>-5.833333333333333</v>
      </c>
      <c r="W23">
        <v>1972</v>
      </c>
      <c r="X23">
        <f t="shared" si="5"/>
        <v>146.44861111111112</v>
      </c>
      <c r="Y23">
        <f t="shared" si="6"/>
        <v>54.550000000000004</v>
      </c>
      <c r="Z23">
        <f t="shared" si="7"/>
        <v>33.234374999999986</v>
      </c>
      <c r="AA23">
        <f t="shared" si="8"/>
        <v>36.261111111111113</v>
      </c>
      <c r="AB23">
        <f t="shared" si="9"/>
        <v>27.488194444444446</v>
      </c>
      <c r="AC23">
        <f t="shared" si="10"/>
        <v>30.793749999999999</v>
      </c>
      <c r="AD23">
        <f t="shared" si="11"/>
        <v>15.223958333333329</v>
      </c>
      <c r="AE23">
        <f t="shared" si="12"/>
        <v>0</v>
      </c>
      <c r="AF23">
        <f t="shared" si="13"/>
        <v>0</v>
      </c>
      <c r="AG23">
        <f t="shared" si="14"/>
        <v>0</v>
      </c>
      <c r="AH23">
        <f t="shared" si="15"/>
        <v>33.166666666666664</v>
      </c>
    </row>
    <row r="24" spans="1:34">
      <c r="A24">
        <v>1972</v>
      </c>
      <c r="B24">
        <v>6</v>
      </c>
      <c r="C24" s="1" t="s">
        <v>4</v>
      </c>
      <c r="D24" t="s">
        <v>12</v>
      </c>
      <c r="E24" t="s">
        <v>21</v>
      </c>
      <c r="G24">
        <v>1972</v>
      </c>
      <c r="H24">
        <v>-35</v>
      </c>
      <c r="I24">
        <f>-35*(6/12)</f>
        <v>-17.5</v>
      </c>
      <c r="L24">
        <f>I24</f>
        <v>-17.5</v>
      </c>
      <c r="U24">
        <f t="shared" si="3"/>
        <v>-17.5</v>
      </c>
      <c r="W24">
        <v>1972</v>
      </c>
      <c r="X24">
        <f t="shared" si="5"/>
        <v>146.44861111111112</v>
      </c>
      <c r="Y24">
        <f t="shared" si="6"/>
        <v>54.550000000000004</v>
      </c>
      <c r="Z24">
        <f t="shared" si="7"/>
        <v>15.734374999999986</v>
      </c>
      <c r="AA24">
        <f t="shared" si="8"/>
        <v>36.261111111111113</v>
      </c>
      <c r="AB24">
        <f t="shared" si="9"/>
        <v>27.488194444444446</v>
      </c>
      <c r="AC24">
        <f t="shared" si="10"/>
        <v>30.793749999999999</v>
      </c>
      <c r="AD24">
        <f t="shared" si="11"/>
        <v>15.223958333333329</v>
      </c>
      <c r="AE24">
        <f t="shared" si="12"/>
        <v>0</v>
      </c>
      <c r="AF24">
        <f t="shared" si="13"/>
        <v>0</v>
      </c>
      <c r="AG24">
        <f t="shared" si="14"/>
        <v>0</v>
      </c>
      <c r="AH24">
        <f t="shared" si="15"/>
        <v>33.166666666666664</v>
      </c>
    </row>
    <row r="25" spans="1:34">
      <c r="A25">
        <v>1972</v>
      </c>
      <c r="B25">
        <v>4</v>
      </c>
      <c r="C25" s="1" t="s">
        <v>5</v>
      </c>
      <c r="D25" t="s">
        <v>12</v>
      </c>
      <c r="E25" t="s">
        <v>13</v>
      </c>
      <c r="G25">
        <v>1972</v>
      </c>
      <c r="H25">
        <v>-35</v>
      </c>
      <c r="I25">
        <f>-35*(4/12)</f>
        <v>-11.666666666666666</v>
      </c>
      <c r="J25">
        <f>I25*(5/16)</f>
        <v>-3.645833333333333</v>
      </c>
      <c r="L25">
        <f>I25*(7/16)</f>
        <v>-5.1041666666666661</v>
      </c>
      <c r="N25">
        <f>I25*(2/16)</f>
        <v>-1.4583333333333333</v>
      </c>
      <c r="O25">
        <f>I25*(1/16)</f>
        <v>-0.72916666666666663</v>
      </c>
      <c r="T25">
        <f>I25*(1/16)</f>
        <v>-0.72916666666666663</v>
      </c>
      <c r="U25">
        <f t="shared" si="3"/>
        <v>-11.666666666666666</v>
      </c>
      <c r="W25">
        <v>1972</v>
      </c>
      <c r="X25">
        <f t="shared" si="5"/>
        <v>142.80277777777778</v>
      </c>
      <c r="Y25">
        <f t="shared" si="6"/>
        <v>54.550000000000004</v>
      </c>
      <c r="Z25">
        <f t="shared" si="7"/>
        <v>10.63020833333332</v>
      </c>
      <c r="AA25">
        <f t="shared" si="8"/>
        <v>36.261111111111113</v>
      </c>
      <c r="AB25">
        <f t="shared" si="9"/>
        <v>26.029861111111114</v>
      </c>
      <c r="AC25">
        <f t="shared" si="10"/>
        <v>30.064583333333331</v>
      </c>
      <c r="AD25">
        <f t="shared" si="11"/>
        <v>15.223958333333329</v>
      </c>
      <c r="AE25">
        <f t="shared" si="12"/>
        <v>0</v>
      </c>
      <c r="AF25">
        <f t="shared" si="13"/>
        <v>0</v>
      </c>
      <c r="AG25">
        <f t="shared" si="14"/>
        <v>0</v>
      </c>
      <c r="AH25">
        <f t="shared" si="15"/>
        <v>32.4375</v>
      </c>
    </row>
    <row r="26" spans="1:34">
      <c r="A26">
        <v>1973</v>
      </c>
      <c r="B26">
        <v>12</v>
      </c>
      <c r="C26" s="1" t="s">
        <v>5</v>
      </c>
      <c r="D26" t="s">
        <v>12</v>
      </c>
      <c r="E26" t="s">
        <v>13</v>
      </c>
      <c r="G26">
        <v>1973</v>
      </c>
      <c r="H26">
        <v>-106</v>
      </c>
      <c r="I26">
        <v>-106</v>
      </c>
      <c r="J26">
        <f t="shared" ref="J26:J28" si="30">I26*(5/16)</f>
        <v>-33.125</v>
      </c>
      <c r="L26">
        <f t="shared" ref="L26:L28" si="31">I26*(7/16)</f>
        <v>-46.375</v>
      </c>
      <c r="N26">
        <f t="shared" ref="N26:N28" si="32">I26*(2/16)</f>
        <v>-13.25</v>
      </c>
      <c r="O26">
        <f t="shared" ref="O26:O28" si="33">I26*(1/16)</f>
        <v>-6.625</v>
      </c>
      <c r="T26">
        <f t="shared" ref="T26:T28" si="34">I26*(1/16)</f>
        <v>-6.625</v>
      </c>
      <c r="U26">
        <f t="shared" si="3"/>
        <v>-106</v>
      </c>
      <c r="W26">
        <v>1973</v>
      </c>
      <c r="X26">
        <f t="shared" si="5"/>
        <v>109.67777777777778</v>
      </c>
      <c r="Y26">
        <f t="shared" si="6"/>
        <v>54.550000000000004</v>
      </c>
      <c r="Z26">
        <f t="shared" si="7"/>
        <v>-35.744791666666679</v>
      </c>
      <c r="AA26">
        <f t="shared" si="8"/>
        <v>36.261111111111113</v>
      </c>
      <c r="AB26">
        <f t="shared" si="9"/>
        <v>12.779861111111114</v>
      </c>
      <c r="AC26">
        <f t="shared" si="10"/>
        <v>23.439583333333331</v>
      </c>
      <c r="AD26">
        <f t="shared" si="11"/>
        <v>15.223958333333329</v>
      </c>
      <c r="AE26">
        <f t="shared" si="12"/>
        <v>0</v>
      </c>
      <c r="AF26">
        <f t="shared" si="13"/>
        <v>0</v>
      </c>
      <c r="AG26">
        <f t="shared" si="14"/>
        <v>0</v>
      </c>
      <c r="AH26">
        <f t="shared" si="15"/>
        <v>25.8125</v>
      </c>
    </row>
    <row r="27" spans="1:34">
      <c r="A27">
        <v>1974</v>
      </c>
      <c r="B27">
        <v>12</v>
      </c>
      <c r="C27" s="1" t="s">
        <v>5</v>
      </c>
      <c r="D27" t="s">
        <v>12</v>
      </c>
      <c r="E27" t="s">
        <v>13</v>
      </c>
      <c r="G27">
        <v>1974</v>
      </c>
      <c r="H27">
        <v>-80</v>
      </c>
      <c r="I27">
        <v>-80</v>
      </c>
      <c r="J27">
        <f t="shared" si="30"/>
        <v>-25</v>
      </c>
      <c r="L27">
        <f t="shared" si="31"/>
        <v>-35</v>
      </c>
      <c r="N27">
        <f t="shared" si="32"/>
        <v>-10</v>
      </c>
      <c r="O27">
        <f t="shared" si="33"/>
        <v>-5</v>
      </c>
      <c r="T27">
        <f t="shared" si="34"/>
        <v>-5</v>
      </c>
      <c r="U27">
        <f t="shared" si="3"/>
        <v>-80</v>
      </c>
      <c r="W27">
        <v>1974</v>
      </c>
      <c r="X27">
        <f t="shared" si="5"/>
        <v>84.677777777777777</v>
      </c>
      <c r="Y27">
        <f t="shared" si="6"/>
        <v>54.550000000000004</v>
      </c>
      <c r="Z27">
        <f t="shared" si="7"/>
        <v>-70.744791666666686</v>
      </c>
      <c r="AA27">
        <f t="shared" si="8"/>
        <v>36.261111111111113</v>
      </c>
      <c r="AB27">
        <f t="shared" si="9"/>
        <v>2.7798611111111136</v>
      </c>
      <c r="AC27">
        <f t="shared" si="10"/>
        <v>18.439583333333331</v>
      </c>
      <c r="AD27">
        <f t="shared" si="11"/>
        <v>15.223958333333329</v>
      </c>
      <c r="AE27">
        <f t="shared" si="12"/>
        <v>0</v>
      </c>
      <c r="AF27">
        <f t="shared" si="13"/>
        <v>0</v>
      </c>
      <c r="AG27">
        <f t="shared" si="14"/>
        <v>0</v>
      </c>
      <c r="AH27">
        <f t="shared" si="15"/>
        <v>20.8125</v>
      </c>
    </row>
    <row r="28" spans="1:34">
      <c r="A28">
        <v>1975</v>
      </c>
      <c r="B28">
        <v>5</v>
      </c>
      <c r="C28" s="1" t="s">
        <v>5</v>
      </c>
      <c r="D28" t="s">
        <v>12</v>
      </c>
      <c r="E28" t="s">
        <v>13</v>
      </c>
      <c r="G28">
        <v>1975</v>
      </c>
      <c r="H28">
        <v>145</v>
      </c>
      <c r="I28">
        <f>145*(5/12)</f>
        <v>60.416666666666671</v>
      </c>
      <c r="J28">
        <f t="shared" si="30"/>
        <v>18.880208333333336</v>
      </c>
      <c r="L28">
        <f t="shared" si="31"/>
        <v>26.432291666666668</v>
      </c>
      <c r="N28">
        <f t="shared" si="32"/>
        <v>7.5520833333333339</v>
      </c>
      <c r="O28">
        <f t="shared" si="33"/>
        <v>3.776041666666667</v>
      </c>
      <c r="T28">
        <f t="shared" si="34"/>
        <v>3.776041666666667</v>
      </c>
      <c r="U28">
        <f t="shared" si="3"/>
        <v>60.416666666666664</v>
      </c>
      <c r="W28">
        <v>1975</v>
      </c>
      <c r="X28">
        <f t="shared" si="5"/>
        <v>103.55798611111112</v>
      </c>
      <c r="Y28">
        <f t="shared" si="6"/>
        <v>54.550000000000004</v>
      </c>
      <c r="Z28">
        <f t="shared" si="7"/>
        <v>-44.312500000000014</v>
      </c>
      <c r="AA28">
        <f t="shared" si="8"/>
        <v>36.261111111111113</v>
      </c>
      <c r="AB28">
        <f t="shared" si="9"/>
        <v>10.331944444444447</v>
      </c>
      <c r="AC28">
        <f t="shared" si="10"/>
        <v>22.215624999999999</v>
      </c>
      <c r="AD28">
        <f t="shared" si="11"/>
        <v>15.223958333333329</v>
      </c>
      <c r="AE28">
        <f t="shared" si="12"/>
        <v>0</v>
      </c>
      <c r="AF28">
        <f t="shared" si="13"/>
        <v>0</v>
      </c>
      <c r="AG28">
        <f t="shared" si="14"/>
        <v>0</v>
      </c>
      <c r="AH28">
        <f t="shared" si="15"/>
        <v>24.588541666666668</v>
      </c>
    </row>
    <row r="29" spans="1:34">
      <c r="A29">
        <v>1975</v>
      </c>
      <c r="B29">
        <v>6</v>
      </c>
      <c r="C29" s="1" t="s">
        <v>6</v>
      </c>
      <c r="D29" t="s">
        <v>16</v>
      </c>
      <c r="E29" t="s">
        <v>16</v>
      </c>
      <c r="G29">
        <v>1975</v>
      </c>
      <c r="H29">
        <v>145</v>
      </c>
      <c r="I29">
        <f>145*(6/12)</f>
        <v>72.5</v>
      </c>
      <c r="T29">
        <f>I29</f>
        <v>72.5</v>
      </c>
      <c r="U29">
        <f t="shared" si="3"/>
        <v>72.5</v>
      </c>
      <c r="W29">
        <v>1975</v>
      </c>
      <c r="X29">
        <f t="shared" si="5"/>
        <v>103.55798611111112</v>
      </c>
      <c r="Y29">
        <f t="shared" si="6"/>
        <v>54.550000000000004</v>
      </c>
      <c r="Z29">
        <f t="shared" si="7"/>
        <v>-44.312500000000014</v>
      </c>
      <c r="AA29">
        <f t="shared" si="8"/>
        <v>36.261111111111113</v>
      </c>
      <c r="AB29">
        <f t="shared" si="9"/>
        <v>10.331944444444447</v>
      </c>
      <c r="AC29">
        <f t="shared" si="10"/>
        <v>22.215624999999999</v>
      </c>
      <c r="AD29">
        <f t="shared" si="11"/>
        <v>15.223958333333329</v>
      </c>
      <c r="AE29">
        <f t="shared" si="12"/>
        <v>0</v>
      </c>
      <c r="AF29">
        <f t="shared" si="13"/>
        <v>0</v>
      </c>
      <c r="AG29">
        <f t="shared" si="14"/>
        <v>0</v>
      </c>
      <c r="AH29">
        <f t="shared" si="15"/>
        <v>97.088541666666671</v>
      </c>
    </row>
    <row r="30" spans="1:34">
      <c r="A30">
        <v>1975</v>
      </c>
      <c r="B30">
        <v>1</v>
      </c>
      <c r="C30" s="1" t="s">
        <v>7</v>
      </c>
      <c r="D30" t="s">
        <v>18</v>
      </c>
      <c r="E30" t="s">
        <v>13</v>
      </c>
      <c r="G30">
        <v>1975</v>
      </c>
      <c r="H30">
        <v>145</v>
      </c>
      <c r="I30">
        <f>145*(1/12)</f>
        <v>12.083333333333332</v>
      </c>
      <c r="J30">
        <f>I30*(4/16)</f>
        <v>3.020833333333333</v>
      </c>
      <c r="L30">
        <f>I30*(5/16)</f>
        <v>3.7760416666666661</v>
      </c>
      <c r="N30">
        <f>I30*(2/16)</f>
        <v>1.5104166666666665</v>
      </c>
      <c r="O30">
        <f>I30*(1/16)</f>
        <v>0.75520833333333326</v>
      </c>
      <c r="P30">
        <f>I30*(4/16)</f>
        <v>3.020833333333333</v>
      </c>
      <c r="U30">
        <f t="shared" si="3"/>
        <v>12.083333333333332</v>
      </c>
      <c r="W30">
        <v>1975</v>
      </c>
      <c r="X30">
        <f t="shared" si="5"/>
        <v>106.57881944444445</v>
      </c>
      <c r="Y30">
        <f t="shared" si="6"/>
        <v>54.550000000000004</v>
      </c>
      <c r="Z30">
        <f t="shared" si="7"/>
        <v>-40.53645833333335</v>
      </c>
      <c r="AA30">
        <f t="shared" si="8"/>
        <v>36.261111111111113</v>
      </c>
      <c r="AB30">
        <f t="shared" si="9"/>
        <v>11.842361111111114</v>
      </c>
      <c r="AC30">
        <f t="shared" si="10"/>
        <v>22.970833333333331</v>
      </c>
      <c r="AD30">
        <f t="shared" si="11"/>
        <v>18.244791666666661</v>
      </c>
      <c r="AE30">
        <f t="shared" si="12"/>
        <v>0</v>
      </c>
      <c r="AF30">
        <f t="shared" si="13"/>
        <v>0</v>
      </c>
      <c r="AG30">
        <f t="shared" si="14"/>
        <v>0</v>
      </c>
      <c r="AH30">
        <f t="shared" si="15"/>
        <v>97.088541666666671</v>
      </c>
    </row>
    <row r="31" spans="1:34">
      <c r="A31">
        <v>1976</v>
      </c>
      <c r="B31">
        <v>9</v>
      </c>
      <c r="C31" s="1" t="s">
        <v>7</v>
      </c>
      <c r="D31" t="s">
        <v>18</v>
      </c>
      <c r="E31" t="s">
        <v>13</v>
      </c>
      <c r="G31">
        <v>1976</v>
      </c>
      <c r="H31">
        <v>182</v>
      </c>
      <c r="I31">
        <f>182*(9/12)</f>
        <v>136.5</v>
      </c>
      <c r="J31">
        <f>I31*(4/16)</f>
        <v>34.125</v>
      </c>
      <c r="L31">
        <f>I31*(5/16)</f>
        <v>42.65625</v>
      </c>
      <c r="N31">
        <f>I31*(2/16)</f>
        <v>17.0625</v>
      </c>
      <c r="O31">
        <f>I31*(1/16)</f>
        <v>8.53125</v>
      </c>
      <c r="P31">
        <f>I31*(4/16)</f>
        <v>34.125</v>
      </c>
      <c r="U31">
        <f t="shared" si="3"/>
        <v>136.5</v>
      </c>
      <c r="W31">
        <v>1976</v>
      </c>
      <c r="X31">
        <f t="shared" si="5"/>
        <v>140.70381944444443</v>
      </c>
      <c r="Y31">
        <f t="shared" si="6"/>
        <v>54.550000000000004</v>
      </c>
      <c r="Z31">
        <f t="shared" si="7"/>
        <v>2.1197916666666501</v>
      </c>
      <c r="AA31">
        <f t="shared" si="8"/>
        <v>36.261111111111113</v>
      </c>
      <c r="AB31">
        <f t="shared" si="9"/>
        <v>28.904861111111114</v>
      </c>
      <c r="AC31">
        <f t="shared" si="10"/>
        <v>31.502083333333331</v>
      </c>
      <c r="AD31">
        <f t="shared" si="11"/>
        <v>52.369791666666657</v>
      </c>
      <c r="AE31">
        <f t="shared" si="12"/>
        <v>0</v>
      </c>
      <c r="AF31">
        <f t="shared" si="13"/>
        <v>0</v>
      </c>
      <c r="AG31">
        <f t="shared" si="14"/>
        <v>0</v>
      </c>
      <c r="AH31">
        <f t="shared" si="15"/>
        <v>97.088541666666671</v>
      </c>
    </row>
    <row r="32" spans="1:34">
      <c r="A32">
        <v>1976</v>
      </c>
      <c r="B32">
        <v>3</v>
      </c>
      <c r="C32" s="1" t="s">
        <v>8</v>
      </c>
      <c r="D32" t="s">
        <v>18</v>
      </c>
      <c r="E32" t="s">
        <v>13</v>
      </c>
      <c r="G32">
        <v>1976</v>
      </c>
      <c r="H32">
        <v>182</v>
      </c>
      <c r="I32">
        <f>182*(3/12)</f>
        <v>45.5</v>
      </c>
      <c r="J32">
        <f>I32*(9/16)</f>
        <v>25.59375</v>
      </c>
      <c r="N32">
        <f>I32*(3/16)</f>
        <v>8.53125</v>
      </c>
      <c r="O32">
        <f>I32*(3/16)</f>
        <v>8.53125</v>
      </c>
      <c r="T32">
        <f>I32*(1/16)</f>
        <v>2.84375</v>
      </c>
      <c r="U32">
        <f t="shared" si="3"/>
        <v>45.5</v>
      </c>
      <c r="W32">
        <v>1976</v>
      </c>
      <c r="X32">
        <f t="shared" si="5"/>
        <v>166.29756944444443</v>
      </c>
      <c r="Y32">
        <f t="shared" si="6"/>
        <v>54.550000000000004</v>
      </c>
      <c r="Z32">
        <f t="shared" si="7"/>
        <v>2.1197916666666501</v>
      </c>
      <c r="AA32">
        <f t="shared" si="8"/>
        <v>36.261111111111113</v>
      </c>
      <c r="AB32">
        <f t="shared" si="9"/>
        <v>37.436111111111117</v>
      </c>
      <c r="AC32">
        <f t="shared" si="10"/>
        <v>40.033333333333331</v>
      </c>
      <c r="AD32">
        <f t="shared" si="11"/>
        <v>52.369791666666657</v>
      </c>
      <c r="AE32">
        <f t="shared" si="12"/>
        <v>0</v>
      </c>
      <c r="AF32">
        <f t="shared" si="13"/>
        <v>0</v>
      </c>
      <c r="AG32">
        <f t="shared" si="14"/>
        <v>0</v>
      </c>
      <c r="AH32">
        <f t="shared" si="15"/>
        <v>99.932291666666671</v>
      </c>
    </row>
    <row r="33" spans="1:34">
      <c r="A33">
        <v>1977</v>
      </c>
      <c r="B33">
        <v>4</v>
      </c>
      <c r="C33" s="1" t="s">
        <v>8</v>
      </c>
      <c r="D33" t="s">
        <v>18</v>
      </c>
      <c r="E33" t="s">
        <v>13</v>
      </c>
      <c r="G33">
        <v>1977</v>
      </c>
      <c r="H33">
        <v>358</v>
      </c>
      <c r="I33">
        <f>358*(4/12)</f>
        <v>119.33333333333333</v>
      </c>
      <c r="J33">
        <f>I33*(9/16)</f>
        <v>67.125</v>
      </c>
      <c r="N33">
        <f>I33*(3/16)</f>
        <v>22.375</v>
      </c>
      <c r="O33">
        <f>I33*(3/16)</f>
        <v>22.375</v>
      </c>
      <c r="T33">
        <f>I33*(1/16)</f>
        <v>7.458333333333333</v>
      </c>
      <c r="U33">
        <f t="shared" si="3"/>
        <v>119.33333333333333</v>
      </c>
      <c r="W33">
        <v>1977</v>
      </c>
      <c r="X33">
        <f t="shared" si="5"/>
        <v>233.42256944444443</v>
      </c>
      <c r="Y33">
        <f t="shared" si="6"/>
        <v>54.550000000000004</v>
      </c>
      <c r="Z33">
        <f t="shared" si="7"/>
        <v>2.1197916666666501</v>
      </c>
      <c r="AA33">
        <f t="shared" si="8"/>
        <v>36.261111111111113</v>
      </c>
      <c r="AB33">
        <f t="shared" si="9"/>
        <v>59.811111111111117</v>
      </c>
      <c r="AC33">
        <f t="shared" si="10"/>
        <v>62.408333333333331</v>
      </c>
      <c r="AD33">
        <f t="shared" si="11"/>
        <v>52.369791666666657</v>
      </c>
      <c r="AE33">
        <f t="shared" si="12"/>
        <v>0</v>
      </c>
      <c r="AF33">
        <f t="shared" si="13"/>
        <v>0</v>
      </c>
      <c r="AG33">
        <f t="shared" si="14"/>
        <v>0</v>
      </c>
      <c r="AH33">
        <f t="shared" si="15"/>
        <v>107.390625</v>
      </c>
    </row>
    <row r="34" spans="1:34">
      <c r="A34">
        <v>1977</v>
      </c>
      <c r="B34">
        <v>8</v>
      </c>
      <c r="C34" s="1" t="s">
        <v>9</v>
      </c>
      <c r="D34" t="s">
        <v>12</v>
      </c>
      <c r="E34" t="s">
        <v>13</v>
      </c>
      <c r="G34">
        <v>1977</v>
      </c>
      <c r="H34">
        <v>358</v>
      </c>
      <c r="I34">
        <f>358*(8/12)</f>
        <v>238.66666666666666</v>
      </c>
      <c r="J34">
        <f>I34*(5/15)</f>
        <v>79.555555555555543</v>
      </c>
      <c r="L34">
        <f>I34*(4/15)</f>
        <v>63.644444444444439</v>
      </c>
      <c r="N34">
        <f>I34*(1/15)</f>
        <v>15.91111111111111</v>
      </c>
      <c r="O34">
        <f>I34*(1/15)</f>
        <v>15.91111111111111</v>
      </c>
      <c r="P34">
        <f>I34*(3/15)</f>
        <v>47.733333333333334</v>
      </c>
      <c r="T34">
        <f>I34*(1/15)</f>
        <v>15.91111111111111</v>
      </c>
      <c r="U34">
        <f t="shared" si="3"/>
        <v>238.66666666666663</v>
      </c>
      <c r="W34">
        <v>1977</v>
      </c>
      <c r="X34">
        <f t="shared" si="5"/>
        <v>312.97812499999998</v>
      </c>
      <c r="Y34">
        <f t="shared" si="6"/>
        <v>54.550000000000004</v>
      </c>
      <c r="Z34">
        <f t="shared" si="7"/>
        <v>65.764236111111089</v>
      </c>
      <c r="AA34">
        <f t="shared" si="8"/>
        <v>36.261111111111113</v>
      </c>
      <c r="AB34">
        <f t="shared" si="9"/>
        <v>75.722222222222229</v>
      </c>
      <c r="AC34">
        <f t="shared" si="10"/>
        <v>78.319444444444443</v>
      </c>
      <c r="AD34">
        <f t="shared" si="11"/>
        <v>100.10312499999999</v>
      </c>
      <c r="AE34">
        <f t="shared" si="12"/>
        <v>0</v>
      </c>
      <c r="AF34">
        <f t="shared" si="13"/>
        <v>0</v>
      </c>
      <c r="AG34">
        <f t="shared" si="14"/>
        <v>0</v>
      </c>
      <c r="AH34">
        <f t="shared" si="15"/>
        <v>123.30173611111111</v>
      </c>
    </row>
    <row r="35" spans="1:34">
      <c r="A35">
        <v>1978</v>
      </c>
      <c r="B35">
        <v>12</v>
      </c>
      <c r="C35" s="1" t="s">
        <v>9</v>
      </c>
      <c r="D35" t="s">
        <v>12</v>
      </c>
      <c r="E35" t="s">
        <v>13</v>
      </c>
      <c r="G35">
        <v>1978</v>
      </c>
      <c r="H35">
        <v>915</v>
      </c>
      <c r="I35">
        <v>915</v>
      </c>
      <c r="J35">
        <f t="shared" ref="J35:J36" si="35">I35*(5/15)</f>
        <v>305</v>
      </c>
      <c r="L35">
        <f t="shared" ref="L35:L36" si="36">I35*(4/15)</f>
        <v>244</v>
      </c>
      <c r="N35">
        <f t="shared" ref="N35:N36" si="37">I35*(1/15)</f>
        <v>61</v>
      </c>
      <c r="O35">
        <f t="shared" ref="O35:O36" si="38">I35*(1/15)</f>
        <v>61</v>
      </c>
      <c r="P35">
        <f t="shared" ref="P35:P36" si="39">I35*(3/15)</f>
        <v>183</v>
      </c>
      <c r="T35">
        <f t="shared" ref="T35:T36" si="40">I35*(1/15)</f>
        <v>61</v>
      </c>
      <c r="U35">
        <f t="shared" si="3"/>
        <v>915</v>
      </c>
      <c r="W35">
        <v>1978</v>
      </c>
      <c r="X35">
        <f t="shared" si="5"/>
        <v>617.97812499999998</v>
      </c>
      <c r="Y35">
        <f t="shared" si="6"/>
        <v>54.550000000000004</v>
      </c>
      <c r="Z35">
        <f t="shared" si="7"/>
        <v>309.76423611111107</v>
      </c>
      <c r="AA35">
        <f t="shared" si="8"/>
        <v>36.261111111111113</v>
      </c>
      <c r="AB35">
        <f t="shared" si="9"/>
        <v>136.72222222222223</v>
      </c>
      <c r="AC35">
        <f t="shared" si="10"/>
        <v>139.31944444444446</v>
      </c>
      <c r="AD35">
        <f t="shared" si="11"/>
        <v>283.10312499999998</v>
      </c>
      <c r="AE35">
        <f t="shared" si="12"/>
        <v>0</v>
      </c>
      <c r="AF35">
        <f t="shared" si="13"/>
        <v>0</v>
      </c>
      <c r="AG35">
        <f t="shared" si="14"/>
        <v>0</v>
      </c>
      <c r="AH35">
        <f t="shared" si="15"/>
        <v>184.3017361111111</v>
      </c>
    </row>
    <row r="36" spans="1:34">
      <c r="A36">
        <v>1979</v>
      </c>
      <c r="B36">
        <v>5</v>
      </c>
      <c r="C36" s="1" t="s">
        <v>9</v>
      </c>
      <c r="D36" t="s">
        <v>12</v>
      </c>
      <c r="E36" t="s">
        <v>13</v>
      </c>
      <c r="G36">
        <v>1979</v>
      </c>
      <c r="H36">
        <v>504</v>
      </c>
      <c r="I36">
        <f>504*(5/12)</f>
        <v>210</v>
      </c>
      <c r="J36">
        <f t="shared" si="35"/>
        <v>70</v>
      </c>
      <c r="L36">
        <f t="shared" si="36"/>
        <v>56</v>
      </c>
      <c r="N36">
        <f t="shared" si="37"/>
        <v>14</v>
      </c>
      <c r="O36">
        <f t="shared" si="38"/>
        <v>14</v>
      </c>
      <c r="P36">
        <f t="shared" si="39"/>
        <v>42</v>
      </c>
      <c r="T36">
        <f t="shared" si="40"/>
        <v>14</v>
      </c>
      <c r="U36">
        <f t="shared" si="3"/>
        <v>210</v>
      </c>
      <c r="W36">
        <v>1979</v>
      </c>
      <c r="X36">
        <f t="shared" si="5"/>
        <v>687.97812499999998</v>
      </c>
      <c r="Y36">
        <f t="shared" si="6"/>
        <v>54.550000000000004</v>
      </c>
      <c r="Z36">
        <f t="shared" si="7"/>
        <v>365.76423611111107</v>
      </c>
      <c r="AA36">
        <f t="shared" si="8"/>
        <v>36.261111111111113</v>
      </c>
      <c r="AB36">
        <f t="shared" si="9"/>
        <v>150.72222222222223</v>
      </c>
      <c r="AC36">
        <f t="shared" si="10"/>
        <v>153.31944444444446</v>
      </c>
      <c r="AD36">
        <f t="shared" si="11"/>
        <v>325.10312499999998</v>
      </c>
      <c r="AE36">
        <f t="shared" si="12"/>
        <v>0</v>
      </c>
      <c r="AF36">
        <f t="shared" si="13"/>
        <v>0</v>
      </c>
      <c r="AG36">
        <f t="shared" si="14"/>
        <v>0</v>
      </c>
      <c r="AH36">
        <f t="shared" si="15"/>
        <v>198.3017361111111</v>
      </c>
    </row>
    <row r="37" spans="1:34">
      <c r="A37">
        <v>1979</v>
      </c>
      <c r="B37">
        <v>7</v>
      </c>
      <c r="C37" s="1" t="s">
        <v>27</v>
      </c>
      <c r="D37" t="s">
        <v>12</v>
      </c>
      <c r="E37" t="s">
        <v>13</v>
      </c>
      <c r="G37">
        <v>1979</v>
      </c>
      <c r="H37">
        <v>504</v>
      </c>
      <c r="I37">
        <f>504*(7/12)</f>
        <v>294</v>
      </c>
      <c r="J37">
        <f>I37*(6/17)</f>
        <v>103.76470588235294</v>
      </c>
      <c r="L37">
        <f>I37*(5/17)</f>
        <v>86.470588235294116</v>
      </c>
      <c r="N37">
        <f>I37*(2/17)</f>
        <v>34.588235294117645</v>
      </c>
      <c r="P37">
        <f>I37*(3/17)</f>
        <v>51.882352941176471</v>
      </c>
      <c r="T37">
        <f>I37*(1/17)</f>
        <v>17.294117647058822</v>
      </c>
      <c r="U37">
        <f t="shared" si="3"/>
        <v>294.00000000000006</v>
      </c>
      <c r="W37">
        <v>1979</v>
      </c>
      <c r="X37">
        <f t="shared" si="5"/>
        <v>791.74283088235291</v>
      </c>
      <c r="Y37">
        <f t="shared" si="6"/>
        <v>54.550000000000004</v>
      </c>
      <c r="Z37">
        <f t="shared" si="7"/>
        <v>452.23482434640516</v>
      </c>
      <c r="AA37">
        <f t="shared" si="8"/>
        <v>36.261111111111113</v>
      </c>
      <c r="AB37">
        <f t="shared" si="9"/>
        <v>185.31045751633988</v>
      </c>
      <c r="AC37">
        <f t="shared" si="10"/>
        <v>153.31944444444446</v>
      </c>
      <c r="AD37">
        <f t="shared" si="11"/>
        <v>376.98547794117644</v>
      </c>
      <c r="AE37">
        <f t="shared" si="12"/>
        <v>0</v>
      </c>
      <c r="AF37">
        <f t="shared" si="13"/>
        <v>0</v>
      </c>
      <c r="AG37">
        <f t="shared" si="14"/>
        <v>0</v>
      </c>
      <c r="AH37">
        <f t="shared" si="15"/>
        <v>215.59585375816991</v>
      </c>
    </row>
    <row r="38" spans="1:34">
      <c r="A38">
        <v>1980</v>
      </c>
      <c r="B38">
        <v>12</v>
      </c>
      <c r="C38" s="1" t="s">
        <v>27</v>
      </c>
      <c r="D38" t="s">
        <v>12</v>
      </c>
      <c r="E38" t="s">
        <v>13</v>
      </c>
      <c r="G38">
        <v>1980</v>
      </c>
      <c r="H38">
        <v>467</v>
      </c>
      <c r="I38">
        <v>467</v>
      </c>
      <c r="J38">
        <f t="shared" ref="J38:J40" si="41">I38*(6/17)</f>
        <v>164.82352941176472</v>
      </c>
      <c r="L38">
        <f t="shared" ref="L38:L40" si="42">I38*(5/17)</f>
        <v>137.35294117647058</v>
      </c>
      <c r="N38">
        <f t="shared" ref="N38:N40" si="43">I38*(2/17)</f>
        <v>54.941176470588232</v>
      </c>
      <c r="P38">
        <f t="shared" ref="P38:P40" si="44">I38*(3/17)</f>
        <v>82.411764705882362</v>
      </c>
      <c r="T38">
        <f t="shared" ref="T38:T40" si="45">I38*(1/17)</f>
        <v>27.470588235294116</v>
      </c>
      <c r="U38">
        <f t="shared" si="3"/>
        <v>467</v>
      </c>
      <c r="W38">
        <v>1980</v>
      </c>
      <c r="X38">
        <f t="shared" si="5"/>
        <v>956.56636029411766</v>
      </c>
      <c r="Y38">
        <f t="shared" si="6"/>
        <v>54.550000000000004</v>
      </c>
      <c r="Z38">
        <f t="shared" si="7"/>
        <v>589.58776552287577</v>
      </c>
      <c r="AA38">
        <f t="shared" si="8"/>
        <v>36.261111111111113</v>
      </c>
      <c r="AB38">
        <f t="shared" si="9"/>
        <v>240.25163398692811</v>
      </c>
      <c r="AC38">
        <f t="shared" si="10"/>
        <v>153.31944444444446</v>
      </c>
      <c r="AD38">
        <f t="shared" si="11"/>
        <v>459.39724264705882</v>
      </c>
      <c r="AE38">
        <f t="shared" si="12"/>
        <v>0</v>
      </c>
      <c r="AF38">
        <f t="shared" si="13"/>
        <v>0</v>
      </c>
      <c r="AG38">
        <f t="shared" si="14"/>
        <v>0</v>
      </c>
      <c r="AH38">
        <f t="shared" si="15"/>
        <v>243.06644199346403</v>
      </c>
    </row>
    <row r="39" spans="1:34">
      <c r="A39">
        <v>1981</v>
      </c>
      <c r="B39">
        <v>12</v>
      </c>
      <c r="C39" s="1" t="s">
        <v>27</v>
      </c>
      <c r="D39" t="s">
        <v>12</v>
      </c>
      <c r="E39" t="s">
        <v>13</v>
      </c>
      <c r="G39">
        <v>1981</v>
      </c>
      <c r="H39">
        <v>695</v>
      </c>
      <c r="I39">
        <v>695</v>
      </c>
      <c r="J39">
        <f t="shared" si="41"/>
        <v>245.29411764705884</v>
      </c>
      <c r="L39">
        <f t="shared" si="42"/>
        <v>204.41176470588235</v>
      </c>
      <c r="N39">
        <f t="shared" si="43"/>
        <v>81.764705882352942</v>
      </c>
      <c r="P39">
        <f t="shared" si="44"/>
        <v>122.64705882352942</v>
      </c>
      <c r="T39">
        <f t="shared" si="45"/>
        <v>40.882352941176471</v>
      </c>
      <c r="U39">
        <f t="shared" si="3"/>
        <v>695</v>
      </c>
      <c r="W39">
        <v>1981</v>
      </c>
      <c r="X39">
        <f t="shared" si="5"/>
        <v>1201.8604779411764</v>
      </c>
      <c r="Y39">
        <f t="shared" si="6"/>
        <v>54.550000000000004</v>
      </c>
      <c r="Z39">
        <f t="shared" si="7"/>
        <v>793.99953022875809</v>
      </c>
      <c r="AA39">
        <f t="shared" si="8"/>
        <v>36.261111111111113</v>
      </c>
      <c r="AB39">
        <f t="shared" si="9"/>
        <v>322.01633986928107</v>
      </c>
      <c r="AC39">
        <f t="shared" si="10"/>
        <v>153.31944444444446</v>
      </c>
      <c r="AD39">
        <f t="shared" si="11"/>
        <v>582.04430147058827</v>
      </c>
      <c r="AE39">
        <f t="shared" si="12"/>
        <v>0</v>
      </c>
      <c r="AF39">
        <f t="shared" si="13"/>
        <v>0</v>
      </c>
      <c r="AG39">
        <f t="shared" si="14"/>
        <v>0</v>
      </c>
      <c r="AH39">
        <f t="shared" si="15"/>
        <v>283.94879493464049</v>
      </c>
    </row>
    <row r="40" spans="1:34">
      <c r="A40">
        <v>1982</v>
      </c>
      <c r="B40">
        <v>2</v>
      </c>
      <c r="C40" s="1" t="s">
        <v>27</v>
      </c>
      <c r="D40" t="s">
        <v>12</v>
      </c>
      <c r="E40" t="s">
        <v>13</v>
      </c>
      <c r="G40">
        <v>1982</v>
      </c>
      <c r="H40">
        <v>1370</v>
      </c>
      <c r="I40">
        <f>1370*(2/12)</f>
        <v>228.33333333333331</v>
      </c>
      <c r="J40">
        <f t="shared" si="41"/>
        <v>80.588235294117652</v>
      </c>
      <c r="L40">
        <f t="shared" si="42"/>
        <v>67.156862745098039</v>
      </c>
      <c r="N40">
        <f t="shared" si="43"/>
        <v>26.862745098039213</v>
      </c>
      <c r="P40">
        <f t="shared" si="44"/>
        <v>40.294117647058826</v>
      </c>
      <c r="T40">
        <f t="shared" si="45"/>
        <v>13.431372549019606</v>
      </c>
      <c r="U40">
        <f t="shared" si="3"/>
        <v>228.33333333333337</v>
      </c>
      <c r="W40">
        <v>1982</v>
      </c>
      <c r="X40">
        <f t="shared" si="5"/>
        <v>1282.448713235294</v>
      </c>
      <c r="Y40">
        <f t="shared" si="6"/>
        <v>54.550000000000004</v>
      </c>
      <c r="Z40">
        <f t="shared" si="7"/>
        <v>861.1563929738561</v>
      </c>
      <c r="AA40">
        <f t="shared" si="8"/>
        <v>36.261111111111113</v>
      </c>
      <c r="AB40">
        <f t="shared" si="9"/>
        <v>348.8790849673203</v>
      </c>
      <c r="AC40">
        <f t="shared" si="10"/>
        <v>153.31944444444446</v>
      </c>
      <c r="AD40">
        <f t="shared" si="11"/>
        <v>622.33841911764705</v>
      </c>
      <c r="AE40">
        <f t="shared" si="12"/>
        <v>0</v>
      </c>
      <c r="AF40">
        <f t="shared" si="13"/>
        <v>0</v>
      </c>
      <c r="AG40">
        <f t="shared" si="14"/>
        <v>0</v>
      </c>
      <c r="AH40">
        <f t="shared" si="15"/>
        <v>297.3801674836601</v>
      </c>
    </row>
    <row r="41" spans="1:34">
      <c r="A41">
        <v>1982</v>
      </c>
      <c r="B41">
        <v>10</v>
      </c>
      <c r="C41" s="1" t="s">
        <v>29</v>
      </c>
      <c r="D41" t="s">
        <v>12</v>
      </c>
      <c r="E41" t="s">
        <v>13</v>
      </c>
      <c r="G41">
        <v>1982</v>
      </c>
      <c r="H41">
        <v>1370</v>
      </c>
      <c r="I41">
        <f>1370*(10/12)</f>
        <v>1141.6666666666667</v>
      </c>
      <c r="J41">
        <f>I41*(6/17)</f>
        <v>402.94117647058829</v>
      </c>
      <c r="L41">
        <f>I41*(5/17)</f>
        <v>335.78431372549022</v>
      </c>
      <c r="N41">
        <f>I41*(2/17)</f>
        <v>134.31372549019608</v>
      </c>
      <c r="P41">
        <f>I41*(3/17)</f>
        <v>201.47058823529414</v>
      </c>
      <c r="T41">
        <f>I41*(1/17)</f>
        <v>67.156862745098039</v>
      </c>
      <c r="U41">
        <f t="shared" si="3"/>
        <v>1141.6666666666667</v>
      </c>
      <c r="W41">
        <v>1982</v>
      </c>
      <c r="X41">
        <f t="shared" si="5"/>
        <v>1685.3898897058823</v>
      </c>
      <c r="Y41">
        <f t="shared" si="6"/>
        <v>54.550000000000004</v>
      </c>
      <c r="Z41">
        <f t="shared" si="7"/>
        <v>1196.9407066993463</v>
      </c>
      <c r="AA41">
        <f t="shared" si="8"/>
        <v>36.261111111111113</v>
      </c>
      <c r="AB41">
        <f t="shared" si="9"/>
        <v>483.19281045751637</v>
      </c>
      <c r="AC41">
        <f t="shared" si="10"/>
        <v>153.31944444444446</v>
      </c>
      <c r="AD41">
        <f t="shared" si="11"/>
        <v>823.80900735294119</v>
      </c>
      <c r="AE41">
        <f t="shared" si="12"/>
        <v>0</v>
      </c>
      <c r="AF41">
        <f t="shared" si="13"/>
        <v>0</v>
      </c>
      <c r="AG41">
        <f t="shared" si="14"/>
        <v>0</v>
      </c>
      <c r="AH41">
        <f t="shared" si="15"/>
        <v>364.53703022875811</v>
      </c>
    </row>
    <row r="42" spans="1:34">
      <c r="A42">
        <v>1983</v>
      </c>
      <c r="B42">
        <v>4</v>
      </c>
      <c r="C42" s="1" t="s">
        <v>29</v>
      </c>
      <c r="D42" t="s">
        <v>12</v>
      </c>
      <c r="E42" t="s">
        <v>13</v>
      </c>
      <c r="G42">
        <v>1983</v>
      </c>
      <c r="H42">
        <v>1325</v>
      </c>
      <c r="I42">
        <f>1325*(4/12)</f>
        <v>441.66666666666663</v>
      </c>
      <c r="J42">
        <f>I42*(6/17)</f>
        <v>155.88235294117646</v>
      </c>
      <c r="L42">
        <f>I42*(5/17)</f>
        <v>129.90196078431373</v>
      </c>
      <c r="N42">
        <f>I42*(2/17)</f>
        <v>51.960784313725483</v>
      </c>
      <c r="P42">
        <f>I42*(3/17)</f>
        <v>77.941176470588232</v>
      </c>
      <c r="T42">
        <f>I42*(1/17)</f>
        <v>25.980392156862742</v>
      </c>
      <c r="U42">
        <f t="shared" si="3"/>
        <v>441.66666666666663</v>
      </c>
      <c r="W42">
        <v>1983</v>
      </c>
      <c r="X42">
        <f t="shared" si="5"/>
        <v>1841.2722426470586</v>
      </c>
      <c r="Y42">
        <f t="shared" si="6"/>
        <v>54.550000000000004</v>
      </c>
      <c r="Z42">
        <f t="shared" si="7"/>
        <v>1326.8426674836601</v>
      </c>
      <c r="AA42">
        <f t="shared" si="8"/>
        <v>36.261111111111113</v>
      </c>
      <c r="AB42">
        <f t="shared" si="9"/>
        <v>535.15359477124184</v>
      </c>
      <c r="AC42">
        <f t="shared" si="10"/>
        <v>153.31944444444446</v>
      </c>
      <c r="AD42">
        <f t="shared" si="11"/>
        <v>901.75018382352937</v>
      </c>
      <c r="AE42">
        <f t="shared" si="12"/>
        <v>0</v>
      </c>
      <c r="AF42">
        <f t="shared" si="13"/>
        <v>0</v>
      </c>
      <c r="AG42">
        <f t="shared" si="14"/>
        <v>0</v>
      </c>
      <c r="AH42">
        <f t="shared" si="15"/>
        <v>390.51742238562088</v>
      </c>
    </row>
    <row r="43" spans="1:34">
      <c r="A43">
        <v>1983</v>
      </c>
      <c r="B43">
        <v>8</v>
      </c>
      <c r="C43" s="1" t="s">
        <v>31</v>
      </c>
      <c r="D43" t="s">
        <v>12</v>
      </c>
      <c r="E43" t="s">
        <v>13</v>
      </c>
      <c r="G43">
        <v>1983</v>
      </c>
      <c r="H43">
        <v>1325</v>
      </c>
      <c r="I43">
        <f>1325*(8/12)</f>
        <v>883.33333333333326</v>
      </c>
      <c r="J43">
        <f>I43*(5/17)</f>
        <v>259.80392156862746</v>
      </c>
      <c r="L43">
        <f>I43*(8/17)</f>
        <v>415.68627450980387</v>
      </c>
      <c r="N43">
        <f>I43*(2/17)</f>
        <v>103.92156862745097</v>
      </c>
      <c r="Q43">
        <f>I43*(2/17)</f>
        <v>103.92156862745097</v>
      </c>
      <c r="U43">
        <f t="shared" si="3"/>
        <v>883.33333333333326</v>
      </c>
      <c r="W43">
        <v>1983</v>
      </c>
      <c r="X43">
        <f t="shared" si="5"/>
        <v>2101.0761642156863</v>
      </c>
      <c r="Y43">
        <f t="shared" si="6"/>
        <v>54.550000000000004</v>
      </c>
      <c r="Z43">
        <f t="shared" si="7"/>
        <v>1742.5289419934638</v>
      </c>
      <c r="AA43">
        <f t="shared" si="8"/>
        <v>36.261111111111113</v>
      </c>
      <c r="AB43">
        <f t="shared" si="9"/>
        <v>639.07516339869278</v>
      </c>
      <c r="AC43">
        <f t="shared" si="10"/>
        <v>153.31944444444446</v>
      </c>
      <c r="AD43">
        <f t="shared" si="11"/>
        <v>901.75018382352937</v>
      </c>
      <c r="AE43">
        <f t="shared" si="12"/>
        <v>103.92156862745097</v>
      </c>
      <c r="AF43">
        <f t="shared" si="13"/>
        <v>0</v>
      </c>
      <c r="AG43">
        <f t="shared" si="14"/>
        <v>0</v>
      </c>
      <c r="AH43">
        <f t="shared" si="15"/>
        <v>390.51742238562088</v>
      </c>
    </row>
    <row r="44" spans="1:34">
      <c r="A44">
        <v>1984</v>
      </c>
      <c r="B44">
        <v>12</v>
      </c>
      <c r="C44" s="1" t="s">
        <v>31</v>
      </c>
      <c r="D44" t="s">
        <v>12</v>
      </c>
      <c r="E44" t="s">
        <v>13</v>
      </c>
      <c r="G44">
        <v>1984</v>
      </c>
      <c r="H44">
        <v>1033</v>
      </c>
      <c r="I44">
        <v>1033</v>
      </c>
      <c r="J44">
        <f t="shared" ref="J44:J47" si="46">I44*(5/17)</f>
        <v>303.8235294117647</v>
      </c>
      <c r="L44">
        <f t="shared" ref="L44:L47" si="47">I44*(8/17)</f>
        <v>486.11764705882354</v>
      </c>
      <c r="N44">
        <f t="shared" ref="N44:N47" si="48">I44*(2/17)</f>
        <v>121.52941176470588</v>
      </c>
      <c r="Q44">
        <f t="shared" ref="Q44:Q47" si="49">I44*(2/17)</f>
        <v>121.52941176470588</v>
      </c>
      <c r="U44">
        <f t="shared" si="3"/>
        <v>1033</v>
      </c>
      <c r="W44">
        <v>1984</v>
      </c>
      <c r="X44">
        <f t="shared" si="5"/>
        <v>2404.8996936274511</v>
      </c>
      <c r="Y44">
        <f t="shared" si="6"/>
        <v>54.550000000000004</v>
      </c>
      <c r="Z44">
        <f t="shared" si="7"/>
        <v>2228.6465890522873</v>
      </c>
      <c r="AA44">
        <f t="shared" si="8"/>
        <v>36.261111111111113</v>
      </c>
      <c r="AB44">
        <f t="shared" si="9"/>
        <v>760.60457516339864</v>
      </c>
      <c r="AC44">
        <f t="shared" si="10"/>
        <v>153.31944444444446</v>
      </c>
      <c r="AD44">
        <f t="shared" si="11"/>
        <v>901.75018382352937</v>
      </c>
      <c r="AE44">
        <f t="shared" si="12"/>
        <v>225.45098039215685</v>
      </c>
      <c r="AF44">
        <f t="shared" si="13"/>
        <v>0</v>
      </c>
      <c r="AG44">
        <f t="shared" si="14"/>
        <v>0</v>
      </c>
      <c r="AH44">
        <f t="shared" si="15"/>
        <v>390.51742238562088</v>
      </c>
    </row>
    <row r="45" spans="1:34">
      <c r="A45">
        <v>1985</v>
      </c>
      <c r="B45">
        <v>12</v>
      </c>
      <c r="C45" s="1" t="s">
        <v>31</v>
      </c>
      <c r="D45" t="s">
        <v>12</v>
      </c>
      <c r="E45" t="s">
        <v>13</v>
      </c>
      <c r="G45">
        <v>1985</v>
      </c>
      <c r="H45">
        <v>457</v>
      </c>
      <c r="I45">
        <v>457</v>
      </c>
      <c r="J45">
        <f t="shared" si="46"/>
        <v>134.41176470588235</v>
      </c>
      <c r="L45">
        <f t="shared" si="47"/>
        <v>215.05882352941177</v>
      </c>
      <c r="N45">
        <f t="shared" si="48"/>
        <v>53.764705882352942</v>
      </c>
      <c r="Q45">
        <f t="shared" si="49"/>
        <v>53.764705882352942</v>
      </c>
      <c r="U45">
        <f t="shared" si="3"/>
        <v>457</v>
      </c>
      <c r="W45">
        <v>1985</v>
      </c>
      <c r="X45">
        <f t="shared" si="5"/>
        <v>2539.3114583333336</v>
      </c>
      <c r="Y45">
        <f t="shared" si="6"/>
        <v>54.550000000000004</v>
      </c>
      <c r="Z45">
        <f t="shared" si="7"/>
        <v>2443.705412581699</v>
      </c>
      <c r="AA45">
        <f t="shared" si="8"/>
        <v>36.261111111111113</v>
      </c>
      <c r="AB45">
        <f t="shared" si="9"/>
        <v>814.36928104575156</v>
      </c>
      <c r="AC45">
        <f t="shared" si="10"/>
        <v>153.31944444444446</v>
      </c>
      <c r="AD45">
        <f t="shared" si="11"/>
        <v>901.75018382352937</v>
      </c>
      <c r="AE45">
        <f t="shared" si="12"/>
        <v>279.21568627450978</v>
      </c>
      <c r="AF45">
        <f t="shared" si="13"/>
        <v>0</v>
      </c>
      <c r="AG45">
        <f t="shared" si="14"/>
        <v>0</v>
      </c>
      <c r="AH45">
        <f t="shared" si="15"/>
        <v>390.51742238562088</v>
      </c>
    </row>
    <row r="46" spans="1:34">
      <c r="A46">
        <v>1986</v>
      </c>
      <c r="B46">
        <v>12</v>
      </c>
      <c r="C46" s="1" t="s">
        <v>31</v>
      </c>
      <c r="D46" t="s">
        <v>12</v>
      </c>
      <c r="E46" t="s">
        <v>13</v>
      </c>
      <c r="G46">
        <v>1986</v>
      </c>
      <c r="H46">
        <v>843</v>
      </c>
      <c r="I46">
        <v>843</v>
      </c>
      <c r="J46">
        <f t="shared" si="46"/>
        <v>247.94117647058823</v>
      </c>
      <c r="L46">
        <f t="shared" si="47"/>
        <v>396.70588235294116</v>
      </c>
      <c r="N46">
        <f t="shared" si="48"/>
        <v>99.17647058823529</v>
      </c>
      <c r="Q46">
        <f t="shared" si="49"/>
        <v>99.17647058823529</v>
      </c>
      <c r="U46">
        <f t="shared" si="3"/>
        <v>842.99999999999989</v>
      </c>
      <c r="W46">
        <v>1986</v>
      </c>
      <c r="X46">
        <f t="shared" si="5"/>
        <v>2787.2526348039219</v>
      </c>
      <c r="Y46">
        <f t="shared" si="6"/>
        <v>54.550000000000004</v>
      </c>
      <c r="Z46">
        <f t="shared" si="7"/>
        <v>2840.41129493464</v>
      </c>
      <c r="AA46">
        <f t="shared" si="8"/>
        <v>36.261111111111113</v>
      </c>
      <c r="AB46">
        <f t="shared" si="9"/>
        <v>913.54575163398681</v>
      </c>
      <c r="AC46">
        <f t="shared" si="10"/>
        <v>153.31944444444446</v>
      </c>
      <c r="AD46">
        <f t="shared" si="11"/>
        <v>901.75018382352937</v>
      </c>
      <c r="AE46">
        <f t="shared" si="12"/>
        <v>378.39215686274508</v>
      </c>
      <c r="AF46">
        <f t="shared" si="13"/>
        <v>0</v>
      </c>
      <c r="AG46">
        <f t="shared" si="14"/>
        <v>0</v>
      </c>
      <c r="AH46">
        <f t="shared" si="15"/>
        <v>390.51742238562088</v>
      </c>
    </row>
    <row r="47" spans="1:34">
      <c r="A47">
        <v>1987</v>
      </c>
      <c r="B47">
        <v>4</v>
      </c>
      <c r="C47" s="1" t="s">
        <v>31</v>
      </c>
      <c r="D47" t="s">
        <v>12</v>
      </c>
      <c r="E47" t="s">
        <v>13</v>
      </c>
      <c r="G47">
        <v>1987</v>
      </c>
      <c r="H47">
        <v>1096</v>
      </c>
      <c r="I47">
        <f>1096*(4/12)</f>
        <v>365.33333333333331</v>
      </c>
      <c r="J47">
        <f t="shared" si="46"/>
        <v>107.45098039215686</v>
      </c>
      <c r="L47">
        <f t="shared" si="47"/>
        <v>171.92156862745097</v>
      </c>
      <c r="N47">
        <f t="shared" si="48"/>
        <v>42.980392156862742</v>
      </c>
      <c r="Q47">
        <f t="shared" si="49"/>
        <v>42.980392156862742</v>
      </c>
      <c r="U47">
        <f t="shared" si="3"/>
        <v>365.33333333333337</v>
      </c>
      <c r="W47">
        <v>1987</v>
      </c>
      <c r="X47">
        <f t="shared" si="5"/>
        <v>2894.7036151960788</v>
      </c>
      <c r="Y47">
        <f t="shared" si="6"/>
        <v>54.550000000000004</v>
      </c>
      <c r="Z47">
        <f t="shared" si="7"/>
        <v>3012.332863562091</v>
      </c>
      <c r="AA47">
        <f t="shared" si="8"/>
        <v>36.261111111111113</v>
      </c>
      <c r="AB47">
        <f t="shared" si="9"/>
        <v>956.52614379084957</v>
      </c>
      <c r="AC47">
        <f t="shared" si="10"/>
        <v>153.31944444444446</v>
      </c>
      <c r="AD47">
        <f t="shared" si="11"/>
        <v>901.75018382352937</v>
      </c>
      <c r="AE47">
        <f t="shared" si="12"/>
        <v>421.37254901960785</v>
      </c>
      <c r="AF47">
        <f t="shared" si="13"/>
        <v>0</v>
      </c>
      <c r="AG47">
        <f t="shared" si="14"/>
        <v>0</v>
      </c>
      <c r="AH47">
        <f t="shared" si="15"/>
        <v>390.51742238562088</v>
      </c>
    </row>
    <row r="48" spans="1:34">
      <c r="A48">
        <v>1987</v>
      </c>
      <c r="B48">
        <v>8</v>
      </c>
      <c r="C48" s="1" t="s">
        <v>33</v>
      </c>
      <c r="D48" t="s">
        <v>35</v>
      </c>
      <c r="E48" t="s">
        <v>13</v>
      </c>
      <c r="G48">
        <v>1987</v>
      </c>
      <c r="H48">
        <v>1096</v>
      </c>
      <c r="I48">
        <f>1096*(8/12)</f>
        <v>730.66666666666663</v>
      </c>
      <c r="K48">
        <f>I48*(7/18)</f>
        <v>284.14814814814815</v>
      </c>
      <c r="L48">
        <f>I48*(8/18)</f>
        <v>324.7407407407407</v>
      </c>
      <c r="N48">
        <f>I48*(2/18)</f>
        <v>81.185185185185176</v>
      </c>
      <c r="Q48">
        <f>I48*(1/18)</f>
        <v>40.592592592592588</v>
      </c>
      <c r="U48">
        <f t="shared" si="3"/>
        <v>730.66666666666674</v>
      </c>
      <c r="W48">
        <v>1987</v>
      </c>
      <c r="X48">
        <f t="shared" si="5"/>
        <v>2894.7036151960788</v>
      </c>
      <c r="Y48">
        <f t="shared" si="6"/>
        <v>338.69814814814816</v>
      </c>
      <c r="Z48">
        <f t="shared" si="7"/>
        <v>3337.0736043028319</v>
      </c>
      <c r="AA48">
        <f t="shared" si="8"/>
        <v>36.261111111111113</v>
      </c>
      <c r="AB48">
        <f t="shared" si="9"/>
        <v>1037.7113289760348</v>
      </c>
      <c r="AC48">
        <f t="shared" si="10"/>
        <v>153.31944444444446</v>
      </c>
      <c r="AD48">
        <f t="shared" si="11"/>
        <v>901.75018382352937</v>
      </c>
      <c r="AE48">
        <f t="shared" si="12"/>
        <v>461.96514161220045</v>
      </c>
      <c r="AF48">
        <f t="shared" si="13"/>
        <v>0</v>
      </c>
      <c r="AG48">
        <f t="shared" si="14"/>
        <v>0</v>
      </c>
      <c r="AH48">
        <f t="shared" si="15"/>
        <v>390.51742238562088</v>
      </c>
    </row>
    <row r="49" spans="1:34">
      <c r="A49">
        <v>1988</v>
      </c>
      <c r="B49">
        <v>12</v>
      </c>
      <c r="C49" s="1" t="s">
        <v>33</v>
      </c>
      <c r="D49" t="s">
        <v>35</v>
      </c>
      <c r="E49" t="s">
        <v>13</v>
      </c>
      <c r="G49">
        <v>1988</v>
      </c>
      <c r="H49">
        <v>-72</v>
      </c>
      <c r="I49">
        <v>-72</v>
      </c>
      <c r="K49">
        <f t="shared" ref="K49:K52" si="50">I49*(7/18)</f>
        <v>-28</v>
      </c>
      <c r="L49">
        <f t="shared" ref="L49:L52" si="51">I49*(8/18)</f>
        <v>-32</v>
      </c>
      <c r="N49">
        <f t="shared" ref="N49:N52" si="52">I49*(2/18)</f>
        <v>-8</v>
      </c>
      <c r="Q49">
        <f t="shared" ref="Q49:Q52" si="53">I49*(1/18)</f>
        <v>-4</v>
      </c>
      <c r="U49">
        <f t="shared" si="3"/>
        <v>-72</v>
      </c>
      <c r="W49">
        <v>1988</v>
      </c>
      <c r="X49">
        <f t="shared" si="5"/>
        <v>2894.7036151960788</v>
      </c>
      <c r="Y49">
        <f t="shared" si="6"/>
        <v>310.69814814814816</v>
      </c>
      <c r="Z49">
        <f t="shared" si="7"/>
        <v>3305.0736043028319</v>
      </c>
      <c r="AA49">
        <f t="shared" si="8"/>
        <v>36.261111111111113</v>
      </c>
      <c r="AB49">
        <f t="shared" si="9"/>
        <v>1029.7113289760348</v>
      </c>
      <c r="AC49">
        <f t="shared" si="10"/>
        <v>153.31944444444446</v>
      </c>
      <c r="AD49">
        <f t="shared" si="11"/>
        <v>901.75018382352937</v>
      </c>
      <c r="AE49">
        <f t="shared" si="12"/>
        <v>457.96514161220045</v>
      </c>
      <c r="AF49">
        <f t="shared" si="13"/>
        <v>0</v>
      </c>
      <c r="AG49">
        <f t="shared" si="14"/>
        <v>0</v>
      </c>
      <c r="AH49">
        <f t="shared" si="15"/>
        <v>390.51742238562088</v>
      </c>
    </row>
    <row r="50" spans="1:34">
      <c r="A50">
        <v>1989</v>
      </c>
      <c r="B50">
        <v>12</v>
      </c>
      <c r="C50" s="1" t="s">
        <v>33</v>
      </c>
      <c r="D50" t="s">
        <v>35</v>
      </c>
      <c r="E50" t="s">
        <v>13</v>
      </c>
      <c r="G50">
        <v>1989</v>
      </c>
      <c r="H50">
        <v>-870</v>
      </c>
      <c r="I50">
        <v>-870</v>
      </c>
      <c r="K50">
        <f t="shared" si="50"/>
        <v>-338.33333333333331</v>
      </c>
      <c r="L50">
        <f t="shared" si="51"/>
        <v>-386.66666666666663</v>
      </c>
      <c r="N50">
        <f t="shared" si="52"/>
        <v>-96.666666666666657</v>
      </c>
      <c r="Q50">
        <f t="shared" si="53"/>
        <v>-48.333333333333329</v>
      </c>
      <c r="U50">
        <f t="shared" si="3"/>
        <v>-870</v>
      </c>
      <c r="W50">
        <v>1989</v>
      </c>
      <c r="X50">
        <f t="shared" si="5"/>
        <v>2894.7036151960788</v>
      </c>
      <c r="Y50">
        <f t="shared" si="6"/>
        <v>-27.635185185185151</v>
      </c>
      <c r="Z50">
        <f t="shared" si="7"/>
        <v>2918.4069376361654</v>
      </c>
      <c r="AA50">
        <f t="shared" si="8"/>
        <v>36.261111111111113</v>
      </c>
      <c r="AB50">
        <f t="shared" si="9"/>
        <v>933.04466230936816</v>
      </c>
      <c r="AC50">
        <f t="shared" si="10"/>
        <v>153.31944444444446</v>
      </c>
      <c r="AD50">
        <f t="shared" si="11"/>
        <v>901.75018382352937</v>
      </c>
      <c r="AE50">
        <f t="shared" si="12"/>
        <v>409.63180827886714</v>
      </c>
      <c r="AF50">
        <f t="shared" si="13"/>
        <v>0</v>
      </c>
      <c r="AG50">
        <f t="shared" si="14"/>
        <v>0</v>
      </c>
      <c r="AH50">
        <f t="shared" si="15"/>
        <v>390.51742238562088</v>
      </c>
    </row>
    <row r="51" spans="1:34">
      <c r="A51">
        <v>1990</v>
      </c>
      <c r="B51">
        <v>12</v>
      </c>
      <c r="C51" s="1" t="s">
        <v>33</v>
      </c>
      <c r="D51" t="s">
        <v>35</v>
      </c>
      <c r="E51" t="s">
        <v>13</v>
      </c>
      <c r="G51">
        <v>1990</v>
      </c>
      <c r="H51">
        <v>694</v>
      </c>
      <c r="I51">
        <v>694</v>
      </c>
      <c r="K51">
        <f t="shared" si="50"/>
        <v>269.88888888888891</v>
      </c>
      <c r="L51">
        <f t="shared" si="51"/>
        <v>308.4444444444444</v>
      </c>
      <c r="N51">
        <f t="shared" si="52"/>
        <v>77.1111111111111</v>
      </c>
      <c r="Q51">
        <f t="shared" si="53"/>
        <v>38.55555555555555</v>
      </c>
      <c r="U51">
        <f t="shared" si="3"/>
        <v>693.99999999999989</v>
      </c>
      <c r="W51">
        <v>1990</v>
      </c>
      <c r="X51">
        <f t="shared" si="5"/>
        <v>2894.7036151960788</v>
      </c>
      <c r="Y51">
        <f t="shared" si="6"/>
        <v>242.25370370370376</v>
      </c>
      <c r="Z51">
        <f t="shared" si="7"/>
        <v>3226.8513820806097</v>
      </c>
      <c r="AA51">
        <f t="shared" si="8"/>
        <v>36.261111111111113</v>
      </c>
      <c r="AB51">
        <f t="shared" si="9"/>
        <v>1010.1557734204792</v>
      </c>
      <c r="AC51">
        <f t="shared" si="10"/>
        <v>153.31944444444446</v>
      </c>
      <c r="AD51">
        <f t="shared" si="11"/>
        <v>901.75018382352937</v>
      </c>
      <c r="AE51">
        <f t="shared" si="12"/>
        <v>448.18736383442268</v>
      </c>
      <c r="AF51">
        <f t="shared" si="13"/>
        <v>0</v>
      </c>
      <c r="AG51">
        <f t="shared" si="14"/>
        <v>0</v>
      </c>
      <c r="AH51">
        <f t="shared" si="15"/>
        <v>390.51742238562088</v>
      </c>
    </row>
    <row r="52" spans="1:34">
      <c r="A52">
        <v>1991</v>
      </c>
      <c r="B52">
        <v>4</v>
      </c>
      <c r="C52" s="1" t="s">
        <v>33</v>
      </c>
      <c r="D52" t="s">
        <v>35</v>
      </c>
      <c r="E52" t="s">
        <v>13</v>
      </c>
      <c r="G52">
        <v>1991</v>
      </c>
      <c r="H52">
        <v>4611</v>
      </c>
      <c r="I52">
        <f>4611*(4/12)</f>
        <v>1537</v>
      </c>
      <c r="K52">
        <f t="shared" si="50"/>
        <v>597.72222222222229</v>
      </c>
      <c r="L52">
        <f t="shared" si="51"/>
        <v>683.11111111111109</v>
      </c>
      <c r="N52">
        <f t="shared" si="52"/>
        <v>170.77777777777777</v>
      </c>
      <c r="Q52">
        <f t="shared" si="53"/>
        <v>85.388888888888886</v>
      </c>
      <c r="U52">
        <f t="shared" si="3"/>
        <v>1537.0000000000002</v>
      </c>
      <c r="W52">
        <v>1991</v>
      </c>
      <c r="X52">
        <f t="shared" si="5"/>
        <v>2894.7036151960788</v>
      </c>
      <c r="Y52">
        <f t="shared" si="6"/>
        <v>839.97592592592605</v>
      </c>
      <c r="Z52">
        <f t="shared" si="7"/>
        <v>3909.9624931917206</v>
      </c>
      <c r="AA52">
        <f t="shared" si="8"/>
        <v>36.261111111111113</v>
      </c>
      <c r="AB52">
        <f t="shared" si="9"/>
        <v>1180.933551198257</v>
      </c>
      <c r="AC52">
        <f t="shared" si="10"/>
        <v>153.31944444444446</v>
      </c>
      <c r="AD52">
        <f t="shared" si="11"/>
        <v>901.75018382352937</v>
      </c>
      <c r="AE52">
        <f t="shared" si="12"/>
        <v>533.57625272331154</v>
      </c>
      <c r="AF52">
        <f t="shared" si="13"/>
        <v>0</v>
      </c>
      <c r="AG52">
        <f t="shared" si="14"/>
        <v>0</v>
      </c>
      <c r="AH52">
        <f t="shared" si="15"/>
        <v>390.51742238562088</v>
      </c>
    </row>
    <row r="53" spans="1:34">
      <c r="A53">
        <v>1991</v>
      </c>
      <c r="B53">
        <v>8</v>
      </c>
      <c r="C53" s="1" t="s">
        <v>36</v>
      </c>
      <c r="D53" t="s">
        <v>18</v>
      </c>
      <c r="E53" t="s">
        <v>13</v>
      </c>
      <c r="G53">
        <v>1991</v>
      </c>
      <c r="H53">
        <v>4611</v>
      </c>
      <c r="I53">
        <f>4611*(8/12)</f>
        <v>3074</v>
      </c>
      <c r="J53">
        <f>I53*(8/17)</f>
        <v>1446.5882352941176</v>
      </c>
      <c r="K53">
        <f>I53*(6/17)</f>
        <v>1084.9411764705883</v>
      </c>
      <c r="N53">
        <f>I53*(2/17)</f>
        <v>361.64705882352939</v>
      </c>
      <c r="R53">
        <f>I53*(1/17)</f>
        <v>180.8235294117647</v>
      </c>
      <c r="U53">
        <f t="shared" si="3"/>
        <v>3074</v>
      </c>
      <c r="W53">
        <v>1991</v>
      </c>
      <c r="X53">
        <f t="shared" si="5"/>
        <v>4341.2918504901963</v>
      </c>
      <c r="Y53">
        <f t="shared" si="6"/>
        <v>1924.9171023965143</v>
      </c>
      <c r="Z53">
        <f t="shared" si="7"/>
        <v>3909.9624931917206</v>
      </c>
      <c r="AA53">
        <f t="shared" si="8"/>
        <v>36.261111111111113</v>
      </c>
      <c r="AB53">
        <f t="shared" si="9"/>
        <v>1542.5806100217865</v>
      </c>
      <c r="AC53">
        <f t="shared" si="10"/>
        <v>153.31944444444446</v>
      </c>
      <c r="AD53">
        <f t="shared" si="11"/>
        <v>901.75018382352937</v>
      </c>
      <c r="AE53">
        <f t="shared" si="12"/>
        <v>533.57625272331154</v>
      </c>
      <c r="AF53">
        <f t="shared" si="13"/>
        <v>180.8235294117647</v>
      </c>
      <c r="AG53">
        <f t="shared" si="14"/>
        <v>0</v>
      </c>
      <c r="AH53">
        <f t="shared" si="15"/>
        <v>390.51742238562088</v>
      </c>
    </row>
    <row r="54" spans="1:34">
      <c r="A54">
        <v>1992</v>
      </c>
      <c r="B54">
        <v>12</v>
      </c>
      <c r="C54" s="1" t="s">
        <v>36</v>
      </c>
      <c r="D54" t="s">
        <v>18</v>
      </c>
      <c r="E54" t="s">
        <v>13</v>
      </c>
      <c r="G54">
        <v>1992</v>
      </c>
      <c r="H54">
        <v>13645</v>
      </c>
      <c r="I54">
        <v>13645</v>
      </c>
      <c r="J54">
        <f t="shared" ref="J54:J57" si="54">I54*(8/17)</f>
        <v>6421.1764705882351</v>
      </c>
      <c r="K54">
        <f t="shared" ref="K54:K57" si="55">I54*(6/17)</f>
        <v>4815.8823529411766</v>
      </c>
      <c r="N54">
        <f t="shared" ref="N54:N57" si="56">I54*(2/17)</f>
        <v>1605.2941176470588</v>
      </c>
      <c r="R54">
        <f t="shared" ref="R54:R57" si="57">I54*(1/17)</f>
        <v>802.64705882352939</v>
      </c>
      <c r="U54">
        <f t="shared" si="3"/>
        <v>13645.000000000002</v>
      </c>
      <c r="W54">
        <v>1992</v>
      </c>
      <c r="X54">
        <f t="shared" si="5"/>
        <v>10762.468321078431</v>
      </c>
      <c r="Y54">
        <f t="shared" si="6"/>
        <v>6740.7994553376911</v>
      </c>
      <c r="Z54">
        <f t="shared" si="7"/>
        <v>3909.9624931917206</v>
      </c>
      <c r="AA54">
        <f t="shared" si="8"/>
        <v>36.261111111111113</v>
      </c>
      <c r="AB54">
        <f t="shared" si="9"/>
        <v>3147.8747276688455</v>
      </c>
      <c r="AC54">
        <f t="shared" si="10"/>
        <v>153.31944444444446</v>
      </c>
      <c r="AD54">
        <f t="shared" si="11"/>
        <v>901.75018382352937</v>
      </c>
      <c r="AE54">
        <f t="shared" si="12"/>
        <v>533.57625272331154</v>
      </c>
      <c r="AF54">
        <f t="shared" si="13"/>
        <v>983.47058823529414</v>
      </c>
      <c r="AG54">
        <f t="shared" si="14"/>
        <v>0</v>
      </c>
      <c r="AH54">
        <f t="shared" si="15"/>
        <v>390.51742238562088</v>
      </c>
    </row>
    <row r="55" spans="1:34">
      <c r="A55">
        <v>1993</v>
      </c>
      <c r="B55">
        <v>12</v>
      </c>
      <c r="C55" s="1" t="s">
        <v>36</v>
      </c>
      <c r="D55" t="s">
        <v>18</v>
      </c>
      <c r="E55" t="s">
        <v>13</v>
      </c>
      <c r="G55">
        <v>1993</v>
      </c>
      <c r="H55">
        <v>15181</v>
      </c>
      <c r="I55">
        <v>15181</v>
      </c>
      <c r="J55">
        <f t="shared" si="54"/>
        <v>7144</v>
      </c>
      <c r="K55">
        <f t="shared" si="55"/>
        <v>5358</v>
      </c>
      <c r="N55">
        <f t="shared" si="56"/>
        <v>1786</v>
      </c>
      <c r="R55">
        <f t="shared" si="57"/>
        <v>893</v>
      </c>
      <c r="U55">
        <f t="shared" si="3"/>
        <v>15181</v>
      </c>
      <c r="W55">
        <v>1993</v>
      </c>
      <c r="X55">
        <f t="shared" si="5"/>
        <v>17906.468321078431</v>
      </c>
      <c r="Y55">
        <f t="shared" si="6"/>
        <v>12098.799455337692</v>
      </c>
      <c r="Z55">
        <f t="shared" si="7"/>
        <v>3909.9624931917206</v>
      </c>
      <c r="AA55">
        <f t="shared" si="8"/>
        <v>36.261111111111113</v>
      </c>
      <c r="AB55">
        <f t="shared" si="9"/>
        <v>4933.8747276688455</v>
      </c>
      <c r="AC55">
        <f t="shared" si="10"/>
        <v>153.31944444444446</v>
      </c>
      <c r="AD55">
        <f t="shared" si="11"/>
        <v>901.75018382352937</v>
      </c>
      <c r="AE55">
        <f t="shared" si="12"/>
        <v>533.57625272331154</v>
      </c>
      <c r="AF55">
        <f t="shared" si="13"/>
        <v>1876.4705882352941</v>
      </c>
      <c r="AG55">
        <f t="shared" si="14"/>
        <v>0</v>
      </c>
      <c r="AH55">
        <f t="shared" si="15"/>
        <v>390.51742238562088</v>
      </c>
    </row>
    <row r="56" spans="1:34">
      <c r="A56">
        <v>1994</v>
      </c>
      <c r="B56">
        <v>12</v>
      </c>
      <c r="C56" s="1" t="s">
        <v>36</v>
      </c>
      <c r="D56" t="s">
        <v>18</v>
      </c>
      <c r="E56" t="s">
        <v>13</v>
      </c>
      <c r="G56">
        <v>1994</v>
      </c>
      <c r="H56">
        <v>8692</v>
      </c>
      <c r="I56">
        <v>8692</v>
      </c>
      <c r="J56">
        <f t="shared" si="54"/>
        <v>4090.3529411764707</v>
      </c>
      <c r="K56">
        <f t="shared" si="55"/>
        <v>3067.7647058823532</v>
      </c>
      <c r="N56">
        <f t="shared" si="56"/>
        <v>1022.5882352941177</v>
      </c>
      <c r="R56">
        <f t="shared" si="57"/>
        <v>511.29411764705884</v>
      </c>
      <c r="U56">
        <f t="shared" si="3"/>
        <v>8692</v>
      </c>
      <c r="W56">
        <v>1994</v>
      </c>
      <c r="X56">
        <f t="shared" si="5"/>
        <v>21996.821262254904</v>
      </c>
      <c r="Y56">
        <f t="shared" si="6"/>
        <v>15166.564161220045</v>
      </c>
      <c r="Z56">
        <f t="shared" si="7"/>
        <v>3909.9624931917206</v>
      </c>
      <c r="AA56">
        <f t="shared" si="8"/>
        <v>36.261111111111113</v>
      </c>
      <c r="AB56">
        <f t="shared" si="9"/>
        <v>5956.4629629629635</v>
      </c>
      <c r="AC56">
        <f t="shared" si="10"/>
        <v>153.31944444444446</v>
      </c>
      <c r="AD56">
        <f t="shared" si="11"/>
        <v>901.75018382352937</v>
      </c>
      <c r="AE56">
        <f t="shared" si="12"/>
        <v>533.57625272331154</v>
      </c>
      <c r="AF56">
        <f t="shared" si="13"/>
        <v>2387.7647058823532</v>
      </c>
      <c r="AG56">
        <f t="shared" si="14"/>
        <v>0</v>
      </c>
      <c r="AH56">
        <f t="shared" si="15"/>
        <v>390.51742238562088</v>
      </c>
    </row>
    <row r="57" spans="1:34">
      <c r="A57">
        <v>1995</v>
      </c>
      <c r="B57">
        <v>3</v>
      </c>
      <c r="C57" s="1" t="s">
        <v>36</v>
      </c>
      <c r="D57" t="s">
        <v>18</v>
      </c>
      <c r="E57" t="s">
        <v>13</v>
      </c>
      <c r="G57">
        <v>1995</v>
      </c>
      <c r="H57">
        <v>8399</v>
      </c>
      <c r="I57">
        <f>8399*(3/12)</f>
        <v>2099.75</v>
      </c>
      <c r="J57">
        <f t="shared" si="54"/>
        <v>988.11764705882354</v>
      </c>
      <c r="K57">
        <f t="shared" si="55"/>
        <v>741.08823529411768</v>
      </c>
      <c r="N57">
        <f t="shared" si="56"/>
        <v>247.02941176470588</v>
      </c>
      <c r="R57">
        <f t="shared" si="57"/>
        <v>123.51470588235294</v>
      </c>
      <c r="U57">
        <f t="shared" si="3"/>
        <v>2099.75</v>
      </c>
      <c r="W57">
        <v>1995</v>
      </c>
      <c r="X57">
        <f t="shared" si="5"/>
        <v>22984.938909313729</v>
      </c>
      <c r="Y57">
        <f t="shared" si="6"/>
        <v>15907.652396514162</v>
      </c>
      <c r="Z57">
        <f t="shared" si="7"/>
        <v>3909.9624931917206</v>
      </c>
      <c r="AA57">
        <f t="shared" si="8"/>
        <v>36.261111111111113</v>
      </c>
      <c r="AB57">
        <f t="shared" si="9"/>
        <v>6203.4923747276698</v>
      </c>
      <c r="AC57">
        <f t="shared" si="10"/>
        <v>153.31944444444446</v>
      </c>
      <c r="AD57">
        <f t="shared" si="11"/>
        <v>901.75018382352937</v>
      </c>
      <c r="AE57">
        <f t="shared" si="12"/>
        <v>533.57625272331154</v>
      </c>
      <c r="AF57">
        <f t="shared" si="13"/>
        <v>2511.2794117647063</v>
      </c>
      <c r="AG57">
        <f t="shared" si="14"/>
        <v>0</v>
      </c>
      <c r="AH57">
        <f t="shared" si="15"/>
        <v>390.51742238562088</v>
      </c>
    </row>
    <row r="58" spans="1:34">
      <c r="A58">
        <v>1995</v>
      </c>
      <c r="B58">
        <v>9</v>
      </c>
      <c r="C58" s="1" t="s">
        <v>38</v>
      </c>
      <c r="D58" t="s">
        <v>12</v>
      </c>
      <c r="E58" t="s">
        <v>13</v>
      </c>
      <c r="G58">
        <v>1995</v>
      </c>
      <c r="H58">
        <v>8399</v>
      </c>
      <c r="I58">
        <f>8399*(9/12)</f>
        <v>6299.25</v>
      </c>
      <c r="K58">
        <f>I58*(5/18)</f>
        <v>1749.7916666666667</v>
      </c>
      <c r="L58">
        <f>I58*(7/18)</f>
        <v>2449.7083333333335</v>
      </c>
      <c r="N58">
        <f>I58*(2/18)</f>
        <v>699.91666666666663</v>
      </c>
      <c r="P58">
        <f>I58*(2/18)</f>
        <v>699.91666666666663</v>
      </c>
      <c r="S58">
        <f>I58*(1/18)</f>
        <v>349.95833333333331</v>
      </c>
      <c r="T58">
        <f>I58*(1/18)</f>
        <v>349.95833333333331</v>
      </c>
      <c r="U58">
        <f t="shared" si="3"/>
        <v>6299.25</v>
      </c>
      <c r="W58">
        <v>1995</v>
      </c>
      <c r="X58">
        <f t="shared" si="5"/>
        <v>22984.938909313729</v>
      </c>
      <c r="Y58">
        <f t="shared" si="6"/>
        <v>17657.444063180828</v>
      </c>
      <c r="Z58">
        <f t="shared" si="7"/>
        <v>6359.6708265250545</v>
      </c>
      <c r="AA58">
        <f t="shared" si="8"/>
        <v>36.261111111111113</v>
      </c>
      <c r="AB58">
        <f t="shared" si="9"/>
        <v>6903.4090413943368</v>
      </c>
      <c r="AC58">
        <f t="shared" si="10"/>
        <v>153.31944444444446</v>
      </c>
      <c r="AD58">
        <f t="shared" si="11"/>
        <v>1601.6668504901959</v>
      </c>
      <c r="AE58">
        <f t="shared" si="12"/>
        <v>533.57625272331154</v>
      </c>
      <c r="AF58">
        <f t="shared" si="13"/>
        <v>2511.2794117647063</v>
      </c>
      <c r="AG58">
        <f t="shared" si="14"/>
        <v>349.95833333333331</v>
      </c>
      <c r="AH58">
        <f t="shared" si="15"/>
        <v>740.47575571895413</v>
      </c>
    </row>
    <row r="59" spans="1:34">
      <c r="A59">
        <v>1996</v>
      </c>
      <c r="B59">
        <v>12</v>
      </c>
      <c r="C59" s="1" t="s">
        <v>38</v>
      </c>
      <c r="D59" t="s">
        <v>12</v>
      </c>
      <c r="E59" t="s">
        <v>13</v>
      </c>
      <c r="G59">
        <v>1996</v>
      </c>
      <c r="H59">
        <v>6000</v>
      </c>
      <c r="I59">
        <v>6000</v>
      </c>
      <c r="K59">
        <f t="shared" ref="K59:K62" si="58">I59*(5/18)</f>
        <v>1666.6666666666667</v>
      </c>
      <c r="L59">
        <f t="shared" ref="L59:L62" si="59">I59*(7/18)</f>
        <v>2333.3333333333335</v>
      </c>
      <c r="N59">
        <f t="shared" ref="N59:N62" si="60">I59*(2/18)</f>
        <v>666.66666666666663</v>
      </c>
      <c r="P59">
        <f t="shared" ref="P59:P62" si="61">I59*(2/18)</f>
        <v>666.66666666666663</v>
      </c>
      <c r="S59">
        <f t="shared" ref="S59:S62" si="62">I59*(1/18)</f>
        <v>333.33333333333331</v>
      </c>
      <c r="T59">
        <f t="shared" ref="T59:T62" si="63">I59*(1/18)</f>
        <v>333.33333333333331</v>
      </c>
      <c r="U59">
        <f t="shared" si="3"/>
        <v>6000</v>
      </c>
      <c r="W59">
        <v>1996</v>
      </c>
      <c r="X59">
        <f t="shared" si="5"/>
        <v>22984.938909313729</v>
      </c>
      <c r="Y59">
        <f t="shared" si="6"/>
        <v>19324.110729847496</v>
      </c>
      <c r="Z59">
        <f t="shared" si="7"/>
        <v>8693.0041598583884</v>
      </c>
      <c r="AA59">
        <f t="shared" si="8"/>
        <v>36.261111111111113</v>
      </c>
      <c r="AB59">
        <f t="shared" si="9"/>
        <v>7570.0757080610038</v>
      </c>
      <c r="AC59">
        <f t="shared" si="10"/>
        <v>153.31944444444446</v>
      </c>
      <c r="AD59">
        <f t="shared" si="11"/>
        <v>2268.3335171568624</v>
      </c>
      <c r="AE59">
        <f t="shared" si="12"/>
        <v>533.57625272331154</v>
      </c>
      <c r="AF59">
        <f t="shared" si="13"/>
        <v>2511.2794117647063</v>
      </c>
      <c r="AG59">
        <f t="shared" si="14"/>
        <v>683.29166666666663</v>
      </c>
      <c r="AH59">
        <f t="shared" si="15"/>
        <v>1073.8090890522874</v>
      </c>
    </row>
    <row r="60" spans="1:34">
      <c r="A60">
        <v>1997</v>
      </c>
      <c r="B60">
        <v>12</v>
      </c>
      <c r="C60" s="1" t="s">
        <v>38</v>
      </c>
      <c r="D60" t="s">
        <v>12</v>
      </c>
      <c r="E60" t="s">
        <v>13</v>
      </c>
      <c r="G60">
        <v>1997</v>
      </c>
      <c r="H60">
        <v>3649</v>
      </c>
      <c r="I60">
        <v>3649</v>
      </c>
      <c r="K60">
        <f t="shared" si="58"/>
        <v>1013.6111111111112</v>
      </c>
      <c r="L60">
        <f t="shared" si="59"/>
        <v>1419.0555555555557</v>
      </c>
      <c r="N60">
        <f t="shared" si="60"/>
        <v>405.4444444444444</v>
      </c>
      <c r="P60">
        <f t="shared" si="61"/>
        <v>405.4444444444444</v>
      </c>
      <c r="S60">
        <f t="shared" si="62"/>
        <v>202.7222222222222</v>
      </c>
      <c r="T60">
        <f t="shared" si="63"/>
        <v>202.7222222222222</v>
      </c>
      <c r="U60">
        <f t="shared" si="3"/>
        <v>3649</v>
      </c>
      <c r="W60">
        <v>1997</v>
      </c>
      <c r="X60">
        <f t="shared" si="5"/>
        <v>22984.938909313729</v>
      </c>
      <c r="Y60">
        <f t="shared" si="6"/>
        <v>20337.721840958606</v>
      </c>
      <c r="Z60">
        <f t="shared" si="7"/>
        <v>10112.059715413943</v>
      </c>
      <c r="AA60">
        <f t="shared" si="8"/>
        <v>36.261111111111113</v>
      </c>
      <c r="AB60">
        <f t="shared" si="9"/>
        <v>7975.5201525054481</v>
      </c>
      <c r="AC60">
        <f t="shared" si="10"/>
        <v>153.31944444444446</v>
      </c>
      <c r="AD60">
        <f t="shared" si="11"/>
        <v>2673.7779616013067</v>
      </c>
      <c r="AE60">
        <f t="shared" si="12"/>
        <v>533.57625272331154</v>
      </c>
      <c r="AF60">
        <f t="shared" si="13"/>
        <v>2511.2794117647063</v>
      </c>
      <c r="AG60">
        <f t="shared" si="14"/>
        <v>886.0138888888888</v>
      </c>
      <c r="AH60">
        <f t="shared" si="15"/>
        <v>1276.5313112745096</v>
      </c>
    </row>
    <row r="61" spans="1:34">
      <c r="A61">
        <v>1998</v>
      </c>
      <c r="B61">
        <v>12</v>
      </c>
      <c r="C61" s="1" t="s">
        <v>38</v>
      </c>
      <c r="D61" t="s">
        <v>12</v>
      </c>
      <c r="E61" t="s">
        <v>13</v>
      </c>
      <c r="G61">
        <v>1998</v>
      </c>
      <c r="H61">
        <v>26</v>
      </c>
      <c r="I61">
        <v>26</v>
      </c>
      <c r="K61">
        <f t="shared" si="58"/>
        <v>7.2222222222222223</v>
      </c>
      <c r="L61">
        <f t="shared" si="59"/>
        <v>10.111111111111111</v>
      </c>
      <c r="N61">
        <f t="shared" si="60"/>
        <v>2.8888888888888888</v>
      </c>
      <c r="P61">
        <f t="shared" si="61"/>
        <v>2.8888888888888888</v>
      </c>
      <c r="S61">
        <f t="shared" si="62"/>
        <v>1.4444444444444444</v>
      </c>
      <c r="T61">
        <f t="shared" si="63"/>
        <v>1.4444444444444444</v>
      </c>
      <c r="U61">
        <f t="shared" si="3"/>
        <v>25.999999999999996</v>
      </c>
      <c r="W61">
        <v>1998</v>
      </c>
      <c r="X61">
        <f t="shared" si="5"/>
        <v>22984.938909313729</v>
      </c>
      <c r="Y61">
        <f t="shared" si="6"/>
        <v>20344.944063180828</v>
      </c>
      <c r="Z61">
        <f t="shared" si="7"/>
        <v>10122.170826525055</v>
      </c>
      <c r="AA61">
        <f t="shared" si="8"/>
        <v>36.261111111111113</v>
      </c>
      <c r="AB61">
        <f t="shared" si="9"/>
        <v>7978.4090413943368</v>
      </c>
      <c r="AC61">
        <f t="shared" si="10"/>
        <v>153.31944444444446</v>
      </c>
      <c r="AD61">
        <f t="shared" si="11"/>
        <v>2676.6668504901954</v>
      </c>
      <c r="AE61">
        <f t="shared" si="12"/>
        <v>533.57625272331154</v>
      </c>
      <c r="AF61">
        <f t="shared" si="13"/>
        <v>2511.2794117647063</v>
      </c>
      <c r="AG61">
        <f t="shared" si="14"/>
        <v>887.45833333333326</v>
      </c>
      <c r="AH61">
        <f t="shared" si="15"/>
        <v>1277.9757557189539</v>
      </c>
    </row>
    <row r="62" spans="1:34">
      <c r="A62">
        <v>1999</v>
      </c>
      <c r="B62">
        <v>4</v>
      </c>
      <c r="C62" s="1" t="s">
        <v>38</v>
      </c>
      <c r="D62" t="s">
        <v>12</v>
      </c>
      <c r="E62" t="s">
        <v>13</v>
      </c>
      <c r="G62">
        <v>1999</v>
      </c>
      <c r="H62">
        <v>-1744</v>
      </c>
      <c r="I62">
        <f>-1744*(4/12)</f>
        <v>-581.33333333333326</v>
      </c>
      <c r="K62">
        <f t="shared" si="58"/>
        <v>-161.48148148148147</v>
      </c>
      <c r="L62">
        <f t="shared" si="59"/>
        <v>-226.07407407407405</v>
      </c>
      <c r="N62">
        <f t="shared" si="60"/>
        <v>-64.592592592592581</v>
      </c>
      <c r="P62">
        <f t="shared" si="61"/>
        <v>-64.592592592592581</v>
      </c>
      <c r="S62">
        <f t="shared" si="62"/>
        <v>-32.296296296296291</v>
      </c>
      <c r="T62">
        <f t="shared" si="63"/>
        <v>-32.296296296296291</v>
      </c>
      <c r="U62">
        <f t="shared" si="3"/>
        <v>-581.33333333333337</v>
      </c>
      <c r="W62">
        <v>1999</v>
      </c>
      <c r="X62">
        <f t="shared" si="5"/>
        <v>22984.938909313729</v>
      </c>
      <c r="Y62">
        <f t="shared" si="6"/>
        <v>20183.462581699347</v>
      </c>
      <c r="Z62">
        <f t="shared" si="7"/>
        <v>9896.0967524509797</v>
      </c>
      <c r="AA62">
        <f t="shared" si="8"/>
        <v>36.261111111111113</v>
      </c>
      <c r="AB62">
        <f t="shared" si="9"/>
        <v>7913.8164488017446</v>
      </c>
      <c r="AC62">
        <f t="shared" si="10"/>
        <v>153.31944444444446</v>
      </c>
      <c r="AD62">
        <f t="shared" si="11"/>
        <v>2612.0742578976028</v>
      </c>
      <c r="AE62">
        <f t="shared" si="12"/>
        <v>533.57625272331154</v>
      </c>
      <c r="AF62">
        <f t="shared" si="13"/>
        <v>2511.2794117647063</v>
      </c>
      <c r="AG62">
        <f t="shared" si="14"/>
        <v>855.16203703703695</v>
      </c>
      <c r="AH62">
        <f t="shared" si="15"/>
        <v>1245.6794594226576</v>
      </c>
    </row>
    <row r="63" spans="1:34">
      <c r="A63">
        <v>1999</v>
      </c>
      <c r="B63">
        <v>8</v>
      </c>
      <c r="C63" s="1" t="s">
        <v>40</v>
      </c>
      <c r="D63" t="s">
        <v>12</v>
      </c>
      <c r="E63" t="s">
        <v>13</v>
      </c>
      <c r="G63">
        <v>1999</v>
      </c>
      <c r="H63">
        <v>-1744</v>
      </c>
      <c r="I63">
        <f>-1744*(8/12)</f>
        <v>-1162.6666666666665</v>
      </c>
      <c r="K63">
        <f>I63*(6/18)</f>
        <v>-387.55555555555549</v>
      </c>
      <c r="L63">
        <f>I63*(6/18)</f>
        <v>-387.55555555555549</v>
      </c>
      <c r="N63">
        <f>I63*(2/18)</f>
        <v>-129.18518518518516</v>
      </c>
      <c r="P63">
        <f>I63*(2/18)</f>
        <v>-129.18518518518516</v>
      </c>
      <c r="S63">
        <f>I63*(1/18)</f>
        <v>-64.592592592592581</v>
      </c>
      <c r="T63">
        <f>I63*(1/18)</f>
        <v>-64.592592592592581</v>
      </c>
      <c r="U63">
        <f t="shared" si="3"/>
        <v>-1162.6666666666665</v>
      </c>
      <c r="W63">
        <v>1999</v>
      </c>
      <c r="X63">
        <f t="shared" si="5"/>
        <v>22984.938909313729</v>
      </c>
      <c r="Y63">
        <f t="shared" si="6"/>
        <v>19795.907026143792</v>
      </c>
      <c r="Z63">
        <f t="shared" si="7"/>
        <v>9508.5411968954249</v>
      </c>
      <c r="AA63">
        <f t="shared" si="8"/>
        <v>36.261111111111113</v>
      </c>
      <c r="AB63">
        <f t="shared" si="9"/>
        <v>7784.6312636165594</v>
      </c>
      <c r="AC63">
        <f t="shared" si="10"/>
        <v>153.31944444444446</v>
      </c>
      <c r="AD63">
        <f t="shared" si="11"/>
        <v>2482.8890727124176</v>
      </c>
      <c r="AE63">
        <f t="shared" si="12"/>
        <v>533.57625272331154</v>
      </c>
      <c r="AF63">
        <f t="shared" si="13"/>
        <v>2511.2794117647063</v>
      </c>
      <c r="AG63">
        <f t="shared" si="14"/>
        <v>790.56944444444434</v>
      </c>
      <c r="AH63">
        <f t="shared" si="15"/>
        <v>1181.086866830065</v>
      </c>
    </row>
    <row r="64" spans="1:34">
      <c r="A64">
        <v>2000</v>
      </c>
      <c r="B64">
        <v>12</v>
      </c>
      <c r="C64" s="1" t="s">
        <v>40</v>
      </c>
      <c r="D64" t="s">
        <v>12</v>
      </c>
      <c r="E64" t="s">
        <v>13</v>
      </c>
      <c r="G64">
        <v>2000</v>
      </c>
      <c r="H64">
        <v>-4617</v>
      </c>
      <c r="I64">
        <v>-4617</v>
      </c>
      <c r="K64">
        <f t="shared" ref="K64:K67" si="64">I64*(6/18)</f>
        <v>-1539</v>
      </c>
      <c r="L64">
        <f t="shared" ref="L64:L67" si="65">I64*(6/18)</f>
        <v>-1539</v>
      </c>
      <c r="N64">
        <f t="shared" ref="N64:N67" si="66">I64*(2/18)</f>
        <v>-513</v>
      </c>
      <c r="P64">
        <f t="shared" ref="P64:P67" si="67">I64*(2/18)</f>
        <v>-513</v>
      </c>
      <c r="S64">
        <f t="shared" ref="S64:S67" si="68">I64*(1/18)</f>
        <v>-256.5</v>
      </c>
      <c r="T64">
        <f t="shared" ref="T64:T67" si="69">I64*(1/18)</f>
        <v>-256.5</v>
      </c>
      <c r="U64">
        <f t="shared" si="3"/>
        <v>-4617</v>
      </c>
      <c r="W64">
        <v>2000</v>
      </c>
      <c r="X64">
        <f t="shared" si="5"/>
        <v>22984.938909313729</v>
      </c>
      <c r="Y64">
        <f t="shared" si="6"/>
        <v>18256.907026143792</v>
      </c>
      <c r="Z64">
        <f t="shared" si="7"/>
        <v>7969.5411968954249</v>
      </c>
      <c r="AA64">
        <f t="shared" si="8"/>
        <v>36.261111111111113</v>
      </c>
      <c r="AB64">
        <f t="shared" si="9"/>
        <v>7271.6312636165594</v>
      </c>
      <c r="AC64">
        <f t="shared" si="10"/>
        <v>153.31944444444446</v>
      </c>
      <c r="AD64">
        <f t="shared" si="11"/>
        <v>1969.8890727124176</v>
      </c>
      <c r="AE64">
        <f t="shared" si="12"/>
        <v>533.57625272331154</v>
      </c>
      <c r="AF64">
        <f t="shared" si="13"/>
        <v>2511.2794117647063</v>
      </c>
      <c r="AG64">
        <f t="shared" si="14"/>
        <v>534.06944444444434</v>
      </c>
      <c r="AH64">
        <f t="shared" si="15"/>
        <v>924.58686683006499</v>
      </c>
    </row>
    <row r="65" spans="1:34">
      <c r="A65">
        <v>2001</v>
      </c>
      <c r="B65">
        <v>12</v>
      </c>
      <c r="C65" s="1" t="s">
        <v>40</v>
      </c>
      <c r="D65" t="s">
        <v>12</v>
      </c>
      <c r="E65" t="s">
        <v>13</v>
      </c>
      <c r="G65">
        <v>2001</v>
      </c>
      <c r="H65">
        <v>-1675</v>
      </c>
      <c r="I65">
        <v>-1675</v>
      </c>
      <c r="K65">
        <f t="shared" si="64"/>
        <v>-558.33333333333326</v>
      </c>
      <c r="L65">
        <f t="shared" si="65"/>
        <v>-558.33333333333326</v>
      </c>
      <c r="N65">
        <f t="shared" si="66"/>
        <v>-186.11111111111111</v>
      </c>
      <c r="P65">
        <f t="shared" si="67"/>
        <v>-186.11111111111111</v>
      </c>
      <c r="S65">
        <f t="shared" si="68"/>
        <v>-93.055555555555557</v>
      </c>
      <c r="T65">
        <f t="shared" si="69"/>
        <v>-93.055555555555557</v>
      </c>
      <c r="U65">
        <f t="shared" si="3"/>
        <v>-1675</v>
      </c>
      <c r="W65">
        <v>2001</v>
      </c>
      <c r="X65">
        <f t="shared" si="5"/>
        <v>22984.938909313729</v>
      </c>
      <c r="Y65">
        <f t="shared" si="6"/>
        <v>17698.57369281046</v>
      </c>
      <c r="Z65">
        <f t="shared" si="7"/>
        <v>7411.2078635620919</v>
      </c>
      <c r="AA65">
        <f t="shared" si="8"/>
        <v>36.261111111111113</v>
      </c>
      <c r="AB65">
        <f t="shared" si="9"/>
        <v>7085.5201525054481</v>
      </c>
      <c r="AC65">
        <f t="shared" si="10"/>
        <v>153.31944444444446</v>
      </c>
      <c r="AD65">
        <f t="shared" si="11"/>
        <v>1783.7779616013065</v>
      </c>
      <c r="AE65">
        <f t="shared" si="12"/>
        <v>533.57625272331154</v>
      </c>
      <c r="AF65">
        <f t="shared" si="13"/>
        <v>2511.2794117647063</v>
      </c>
      <c r="AG65">
        <f t="shared" si="14"/>
        <v>441.0138888888888</v>
      </c>
      <c r="AH65">
        <f t="shared" si="15"/>
        <v>831.53131127450945</v>
      </c>
    </row>
    <row r="66" spans="1:34">
      <c r="A66">
        <v>2002</v>
      </c>
      <c r="B66">
        <v>12</v>
      </c>
      <c r="C66" s="1" t="s">
        <v>40</v>
      </c>
      <c r="D66" t="s">
        <v>12</v>
      </c>
      <c r="E66" t="s">
        <v>13</v>
      </c>
      <c r="G66">
        <v>2002</v>
      </c>
      <c r="H66">
        <v>-2507</v>
      </c>
      <c r="I66">
        <v>-2507</v>
      </c>
      <c r="K66">
        <f t="shared" si="64"/>
        <v>-835.66666666666663</v>
      </c>
      <c r="L66">
        <f t="shared" si="65"/>
        <v>-835.66666666666663</v>
      </c>
      <c r="N66">
        <f t="shared" si="66"/>
        <v>-278.55555555555554</v>
      </c>
      <c r="P66">
        <f t="shared" si="67"/>
        <v>-278.55555555555554</v>
      </c>
      <c r="S66">
        <f t="shared" si="68"/>
        <v>-139.27777777777777</v>
      </c>
      <c r="T66">
        <f t="shared" si="69"/>
        <v>-139.27777777777777</v>
      </c>
      <c r="U66">
        <f t="shared" si="3"/>
        <v>-2507</v>
      </c>
      <c r="W66">
        <v>2002</v>
      </c>
      <c r="X66">
        <f t="shared" si="5"/>
        <v>22984.938909313729</v>
      </c>
      <c r="Y66">
        <f t="shared" si="6"/>
        <v>16862.907026143792</v>
      </c>
      <c r="Z66">
        <f t="shared" si="7"/>
        <v>6575.5411968954249</v>
      </c>
      <c r="AA66">
        <f t="shared" si="8"/>
        <v>36.261111111111113</v>
      </c>
      <c r="AB66">
        <f t="shared" si="9"/>
        <v>6806.9645969498924</v>
      </c>
      <c r="AC66">
        <f t="shared" si="10"/>
        <v>153.31944444444446</v>
      </c>
      <c r="AD66">
        <f t="shared" si="11"/>
        <v>1505.2224060457511</v>
      </c>
      <c r="AE66">
        <f t="shared" si="12"/>
        <v>533.57625272331154</v>
      </c>
      <c r="AF66">
        <f t="shared" si="13"/>
        <v>2511.2794117647063</v>
      </c>
      <c r="AG66">
        <f t="shared" si="14"/>
        <v>301.73611111111103</v>
      </c>
      <c r="AH66">
        <f t="shared" si="15"/>
        <v>692.25353349673173</v>
      </c>
    </row>
    <row r="67" spans="1:34">
      <c r="A67">
        <v>2003</v>
      </c>
      <c r="B67">
        <v>4</v>
      </c>
      <c r="C67" s="1" t="s">
        <v>40</v>
      </c>
      <c r="D67" t="s">
        <v>12</v>
      </c>
      <c r="E67" t="s">
        <v>13</v>
      </c>
      <c r="G67">
        <v>2003</v>
      </c>
      <c r="H67">
        <v>4067</v>
      </c>
      <c r="I67">
        <f>4067*(4/12)</f>
        <v>1355.6666666666665</v>
      </c>
      <c r="K67">
        <f t="shared" si="64"/>
        <v>451.8888888888888</v>
      </c>
      <c r="L67">
        <f t="shared" si="65"/>
        <v>451.8888888888888</v>
      </c>
      <c r="N67">
        <f t="shared" si="66"/>
        <v>150.62962962962959</v>
      </c>
      <c r="P67">
        <f t="shared" si="67"/>
        <v>150.62962962962959</v>
      </c>
      <c r="S67">
        <f t="shared" si="68"/>
        <v>75.314814814814795</v>
      </c>
      <c r="T67">
        <f t="shared" si="69"/>
        <v>75.314814814814795</v>
      </c>
      <c r="U67">
        <f t="shared" ref="U67:U96" si="70">SUM(J67:T67)</f>
        <v>1355.6666666666663</v>
      </c>
      <c r="W67">
        <v>2003</v>
      </c>
      <c r="X67">
        <f t="shared" si="5"/>
        <v>22984.938909313729</v>
      </c>
      <c r="Y67">
        <f t="shared" si="6"/>
        <v>17314.795915032682</v>
      </c>
      <c r="Z67">
        <f t="shared" si="7"/>
        <v>7027.4300857843136</v>
      </c>
      <c r="AA67">
        <f t="shared" si="8"/>
        <v>36.261111111111113</v>
      </c>
      <c r="AB67">
        <f t="shared" si="9"/>
        <v>6957.594226579522</v>
      </c>
      <c r="AC67">
        <f t="shared" si="10"/>
        <v>153.31944444444446</v>
      </c>
      <c r="AD67">
        <f t="shared" si="11"/>
        <v>1655.8520356753806</v>
      </c>
      <c r="AE67">
        <f t="shared" si="12"/>
        <v>533.57625272331154</v>
      </c>
      <c r="AF67">
        <f t="shared" si="13"/>
        <v>2511.2794117647063</v>
      </c>
      <c r="AG67">
        <f t="shared" si="14"/>
        <v>377.05092592592581</v>
      </c>
      <c r="AH67">
        <f t="shared" si="15"/>
        <v>767.56834831154652</v>
      </c>
    </row>
    <row r="68" spans="1:34">
      <c r="A68">
        <v>2003</v>
      </c>
      <c r="B68">
        <v>2</v>
      </c>
      <c r="C68" s="1" t="s">
        <v>42</v>
      </c>
      <c r="D68" t="s">
        <v>18</v>
      </c>
      <c r="E68" t="s">
        <v>13</v>
      </c>
      <c r="G68">
        <v>2003</v>
      </c>
      <c r="H68">
        <v>4067</v>
      </c>
      <c r="I68">
        <f>4067*(2/12)</f>
        <v>677.83333333333326</v>
      </c>
      <c r="J68">
        <f>I68*(8/18)</f>
        <v>301.25925925925918</v>
      </c>
      <c r="L68">
        <f>I68*(8/18)</f>
        <v>301.25925925925918</v>
      </c>
      <c r="N68">
        <f>I68*(2/18)</f>
        <v>75.314814814814795</v>
      </c>
      <c r="U68">
        <f t="shared" si="70"/>
        <v>677.83333333333314</v>
      </c>
      <c r="W68">
        <v>2003</v>
      </c>
      <c r="X68">
        <f t="shared" ref="X68:X96" si="71">X67+J68</f>
        <v>23286.198168572988</v>
      </c>
      <c r="Y68">
        <f t="shared" ref="Y68:Y96" si="72">Y67+K68</f>
        <v>17314.795915032682</v>
      </c>
      <c r="Z68">
        <f t="shared" ref="Z68:Z96" si="73">Z67+L68</f>
        <v>7328.6893450435728</v>
      </c>
      <c r="AA68">
        <f t="shared" ref="AA68:AA96" si="74">AA67+M68</f>
        <v>36.261111111111113</v>
      </c>
      <c r="AB68">
        <f t="shared" ref="AB68:AB96" si="75">AB67+N68</f>
        <v>7032.9090413943368</v>
      </c>
      <c r="AC68">
        <f t="shared" ref="AC68:AC96" si="76">AC67+O68</f>
        <v>153.31944444444446</v>
      </c>
      <c r="AD68">
        <f t="shared" ref="AD68:AD96" si="77">AD67+P68</f>
        <v>1655.8520356753806</v>
      </c>
      <c r="AE68">
        <f t="shared" ref="AE68:AE96" si="78">AE67+Q68</f>
        <v>533.57625272331154</v>
      </c>
      <c r="AF68">
        <f t="shared" ref="AF68:AF96" si="79">AF67+R68</f>
        <v>2511.2794117647063</v>
      </c>
      <c r="AG68">
        <f t="shared" ref="AG68:AG96" si="80">AG67+S68</f>
        <v>377.05092592592581</v>
      </c>
      <c r="AH68">
        <f t="shared" ref="AH68:AH96" si="81">AH67+T68</f>
        <v>767.56834831154652</v>
      </c>
    </row>
    <row r="69" spans="1:34">
      <c r="A69">
        <v>2003</v>
      </c>
      <c r="B69">
        <v>6</v>
      </c>
      <c r="C69" s="1" t="s">
        <v>44</v>
      </c>
      <c r="D69" t="s">
        <v>18</v>
      </c>
      <c r="E69" t="s">
        <v>13</v>
      </c>
      <c r="G69">
        <v>2003</v>
      </c>
      <c r="H69">
        <v>4067</v>
      </c>
      <c r="I69">
        <f>4067*(6/12)</f>
        <v>2033.5</v>
      </c>
      <c r="J69">
        <f t="shared" ref="J69:J72" si="82">I69*(8/18)</f>
        <v>903.77777777777771</v>
      </c>
      <c r="L69">
        <f t="shared" ref="L69:L72" si="83">I69*(8/18)</f>
        <v>903.77777777777771</v>
      </c>
      <c r="N69">
        <f t="shared" ref="N69:N72" si="84">I69*(2/18)</f>
        <v>225.94444444444443</v>
      </c>
      <c r="U69">
        <f t="shared" si="70"/>
        <v>2033.4999999999998</v>
      </c>
      <c r="W69">
        <v>2003</v>
      </c>
      <c r="X69">
        <f t="shared" si="71"/>
        <v>24189.975946350765</v>
      </c>
      <c r="Y69">
        <f t="shared" si="72"/>
        <v>17314.795915032682</v>
      </c>
      <c r="Z69">
        <f t="shared" si="73"/>
        <v>8232.4671228213501</v>
      </c>
      <c r="AA69">
        <f t="shared" si="74"/>
        <v>36.261111111111113</v>
      </c>
      <c r="AB69">
        <f t="shared" si="75"/>
        <v>7258.8534858387811</v>
      </c>
      <c r="AC69">
        <f t="shared" si="76"/>
        <v>153.31944444444446</v>
      </c>
      <c r="AD69">
        <f t="shared" si="77"/>
        <v>1655.8520356753806</v>
      </c>
      <c r="AE69">
        <f t="shared" si="78"/>
        <v>533.57625272331154</v>
      </c>
      <c r="AF69">
        <f t="shared" si="79"/>
        <v>2511.2794117647063</v>
      </c>
      <c r="AG69">
        <f t="shared" si="80"/>
        <v>377.05092592592581</v>
      </c>
      <c r="AH69">
        <f t="shared" si="81"/>
        <v>767.56834831154652</v>
      </c>
    </row>
    <row r="70" spans="1:34">
      <c r="A70">
        <v>2004</v>
      </c>
      <c r="B70">
        <v>12</v>
      </c>
      <c r="C70" s="1" t="s">
        <v>44</v>
      </c>
      <c r="D70" t="s">
        <v>18</v>
      </c>
      <c r="E70" t="s">
        <v>13</v>
      </c>
      <c r="G70">
        <v>2004</v>
      </c>
      <c r="H70">
        <v>468</v>
      </c>
      <c r="I70">
        <v>468</v>
      </c>
      <c r="J70">
        <f t="shared" si="82"/>
        <v>208</v>
      </c>
      <c r="L70">
        <f t="shared" si="83"/>
        <v>208</v>
      </c>
      <c r="N70">
        <f t="shared" si="84"/>
        <v>52</v>
      </c>
      <c r="U70">
        <f t="shared" si="70"/>
        <v>468</v>
      </c>
      <c r="W70">
        <v>2004</v>
      </c>
      <c r="X70">
        <f t="shared" si="71"/>
        <v>24397.975946350765</v>
      </c>
      <c r="Y70">
        <f t="shared" si="72"/>
        <v>17314.795915032682</v>
      </c>
      <c r="Z70">
        <f t="shared" si="73"/>
        <v>8440.4671228213501</v>
      </c>
      <c r="AA70">
        <f t="shared" si="74"/>
        <v>36.261111111111113</v>
      </c>
      <c r="AB70">
        <f t="shared" si="75"/>
        <v>7310.8534858387811</v>
      </c>
      <c r="AC70">
        <f t="shared" si="76"/>
        <v>153.31944444444446</v>
      </c>
      <c r="AD70">
        <f t="shared" si="77"/>
        <v>1655.8520356753806</v>
      </c>
      <c r="AE70">
        <f t="shared" si="78"/>
        <v>533.57625272331154</v>
      </c>
      <c r="AF70">
        <f t="shared" si="79"/>
        <v>2511.2794117647063</v>
      </c>
      <c r="AG70">
        <f t="shared" si="80"/>
        <v>377.05092592592581</v>
      </c>
      <c r="AH70">
        <f t="shared" si="81"/>
        <v>767.56834831154652</v>
      </c>
    </row>
    <row r="71" spans="1:34">
      <c r="A71">
        <v>2005</v>
      </c>
      <c r="B71">
        <v>12</v>
      </c>
      <c r="C71" s="1" t="s">
        <v>44</v>
      </c>
      <c r="D71" t="s">
        <v>18</v>
      </c>
      <c r="E71" t="s">
        <v>13</v>
      </c>
      <c r="G71">
        <v>2005</v>
      </c>
      <c r="H71">
        <v>-3744</v>
      </c>
      <c r="I71">
        <v>-3744</v>
      </c>
      <c r="J71">
        <f t="shared" si="82"/>
        <v>-1664</v>
      </c>
      <c r="L71">
        <f t="shared" si="83"/>
        <v>-1664</v>
      </c>
      <c r="N71">
        <f t="shared" si="84"/>
        <v>-416</v>
      </c>
      <c r="U71">
        <f t="shared" si="70"/>
        <v>-3744</v>
      </c>
      <c r="W71">
        <v>2005</v>
      </c>
      <c r="X71">
        <f t="shared" si="71"/>
        <v>22733.975946350765</v>
      </c>
      <c r="Y71">
        <f t="shared" si="72"/>
        <v>17314.795915032682</v>
      </c>
      <c r="Z71">
        <f t="shared" si="73"/>
        <v>6776.4671228213501</v>
      </c>
      <c r="AA71">
        <f t="shared" si="74"/>
        <v>36.261111111111113</v>
      </c>
      <c r="AB71">
        <f t="shared" si="75"/>
        <v>6894.8534858387811</v>
      </c>
      <c r="AC71">
        <f t="shared" si="76"/>
        <v>153.31944444444446</v>
      </c>
      <c r="AD71">
        <f t="shared" si="77"/>
        <v>1655.8520356753806</v>
      </c>
      <c r="AE71">
        <f t="shared" si="78"/>
        <v>533.57625272331154</v>
      </c>
      <c r="AF71">
        <f t="shared" si="79"/>
        <v>2511.2794117647063</v>
      </c>
      <c r="AG71">
        <f t="shared" si="80"/>
        <v>377.05092592592581</v>
      </c>
      <c r="AH71">
        <f t="shared" si="81"/>
        <v>767.56834831154652</v>
      </c>
    </row>
    <row r="72" spans="1:34">
      <c r="A72">
        <v>2006</v>
      </c>
      <c r="B72">
        <v>12</v>
      </c>
      <c r="C72" s="1" t="s">
        <v>44</v>
      </c>
      <c r="D72" t="s">
        <v>18</v>
      </c>
      <c r="E72" t="s">
        <v>13</v>
      </c>
      <c r="G72">
        <v>2006</v>
      </c>
      <c r="H72">
        <v>-1140</v>
      </c>
      <c r="I72">
        <v>-1140</v>
      </c>
      <c r="J72">
        <f t="shared" si="82"/>
        <v>-506.66666666666663</v>
      </c>
      <c r="L72">
        <f t="shared" si="83"/>
        <v>-506.66666666666663</v>
      </c>
      <c r="N72">
        <f t="shared" si="84"/>
        <v>-126.66666666666666</v>
      </c>
      <c r="U72">
        <f t="shared" si="70"/>
        <v>-1140</v>
      </c>
      <c r="W72">
        <v>2006</v>
      </c>
      <c r="X72">
        <f t="shared" si="71"/>
        <v>22227.309279684097</v>
      </c>
      <c r="Y72">
        <f t="shared" si="72"/>
        <v>17314.795915032682</v>
      </c>
      <c r="Z72">
        <f t="shared" si="73"/>
        <v>6269.8004561546832</v>
      </c>
      <c r="AA72">
        <f t="shared" si="74"/>
        <v>36.261111111111113</v>
      </c>
      <c r="AB72">
        <f t="shared" si="75"/>
        <v>6768.1868191721142</v>
      </c>
      <c r="AC72">
        <f t="shared" si="76"/>
        <v>153.31944444444446</v>
      </c>
      <c r="AD72">
        <f t="shared" si="77"/>
        <v>1655.8520356753806</v>
      </c>
      <c r="AE72">
        <f t="shared" si="78"/>
        <v>533.57625272331154</v>
      </c>
      <c r="AF72">
        <f t="shared" si="79"/>
        <v>2511.2794117647063</v>
      </c>
      <c r="AG72">
        <f t="shared" si="80"/>
        <v>377.05092592592581</v>
      </c>
      <c r="AH72">
        <f t="shared" si="81"/>
        <v>767.56834831154652</v>
      </c>
    </row>
    <row r="73" spans="1:34">
      <c r="A73">
        <v>2007</v>
      </c>
      <c r="B73">
        <v>4</v>
      </c>
      <c r="C73" s="1" t="s">
        <v>44</v>
      </c>
      <c r="D73" t="s">
        <v>18</v>
      </c>
      <c r="E73" t="s">
        <v>13</v>
      </c>
      <c r="G73">
        <v>2007</v>
      </c>
      <c r="H73">
        <v>-2836</v>
      </c>
      <c r="I73">
        <f>-2836*(4/12)</f>
        <v>-945.33333333333326</v>
      </c>
      <c r="J73">
        <f>I73*(8/18)</f>
        <v>-420.1481481481481</v>
      </c>
      <c r="L73">
        <f>I73*(8/18)</f>
        <v>-420.1481481481481</v>
      </c>
      <c r="N73">
        <f>I73*(2/18)</f>
        <v>-105.03703703703702</v>
      </c>
      <c r="U73">
        <f t="shared" si="70"/>
        <v>-945.33333333333326</v>
      </c>
      <c r="W73">
        <v>2007</v>
      </c>
      <c r="X73">
        <f t="shared" si="71"/>
        <v>21807.161131535948</v>
      </c>
      <c r="Y73">
        <f t="shared" si="72"/>
        <v>17314.795915032682</v>
      </c>
      <c r="Z73">
        <f t="shared" si="73"/>
        <v>5849.6523080065353</v>
      </c>
      <c r="AA73">
        <f t="shared" si="74"/>
        <v>36.261111111111113</v>
      </c>
      <c r="AB73">
        <f t="shared" si="75"/>
        <v>6663.1497821350767</v>
      </c>
      <c r="AC73">
        <f t="shared" si="76"/>
        <v>153.31944444444446</v>
      </c>
      <c r="AD73">
        <f t="shared" si="77"/>
        <v>1655.8520356753806</v>
      </c>
      <c r="AE73">
        <f t="shared" si="78"/>
        <v>533.57625272331154</v>
      </c>
      <c r="AF73">
        <f t="shared" si="79"/>
        <v>2511.2794117647063</v>
      </c>
      <c r="AG73">
        <f t="shared" si="80"/>
        <v>377.05092592592581</v>
      </c>
      <c r="AH73">
        <f t="shared" si="81"/>
        <v>767.56834831154652</v>
      </c>
    </row>
    <row r="74" spans="1:34">
      <c r="A74">
        <v>2007</v>
      </c>
      <c r="B74">
        <v>8</v>
      </c>
      <c r="C74" s="1" t="s">
        <v>46</v>
      </c>
      <c r="D74" t="s">
        <v>18</v>
      </c>
      <c r="E74" t="s">
        <v>13</v>
      </c>
      <c r="G74">
        <v>2007</v>
      </c>
      <c r="H74">
        <v>-2836</v>
      </c>
      <c r="I74">
        <f>-2836*(8/12)</f>
        <v>-1890.6666666666665</v>
      </c>
      <c r="J74">
        <f>I74*(8/20)</f>
        <v>-756.26666666666665</v>
      </c>
      <c r="L74">
        <f>I74*(8/20)</f>
        <v>-756.26666666666665</v>
      </c>
      <c r="N74">
        <f>I74*(2/20)</f>
        <v>-189.06666666666666</v>
      </c>
      <c r="S74">
        <f>I74*(2/20)</f>
        <v>-189.06666666666666</v>
      </c>
      <c r="U74">
        <f t="shared" si="70"/>
        <v>-1890.6666666666665</v>
      </c>
      <c r="W74">
        <v>2007</v>
      </c>
      <c r="X74">
        <f t="shared" si="71"/>
        <v>21050.894464869281</v>
      </c>
      <c r="Y74">
        <f t="shared" si="72"/>
        <v>17314.795915032682</v>
      </c>
      <c r="Z74">
        <f t="shared" si="73"/>
        <v>5093.3856413398689</v>
      </c>
      <c r="AA74">
        <f t="shared" si="74"/>
        <v>36.261111111111113</v>
      </c>
      <c r="AB74">
        <f t="shared" si="75"/>
        <v>6474.0831154684101</v>
      </c>
      <c r="AC74">
        <f t="shared" si="76"/>
        <v>153.31944444444446</v>
      </c>
      <c r="AD74">
        <f t="shared" si="77"/>
        <v>1655.8520356753806</v>
      </c>
      <c r="AE74">
        <f t="shared" si="78"/>
        <v>533.57625272331154</v>
      </c>
      <c r="AF74">
        <f t="shared" si="79"/>
        <v>2511.2794117647063</v>
      </c>
      <c r="AG74">
        <f t="shared" si="80"/>
        <v>187.98425925925915</v>
      </c>
      <c r="AH74">
        <f t="shared" si="81"/>
        <v>767.56834831154652</v>
      </c>
    </row>
    <row r="75" spans="1:34">
      <c r="A75">
        <v>2008</v>
      </c>
      <c r="B75">
        <v>12</v>
      </c>
      <c r="C75" s="1" t="s">
        <v>46</v>
      </c>
      <c r="D75" t="s">
        <v>18</v>
      </c>
      <c r="E75" t="s">
        <v>13</v>
      </c>
      <c r="G75">
        <v>2008</v>
      </c>
      <c r="H75">
        <v>-1686</v>
      </c>
      <c r="I75">
        <v>-1686</v>
      </c>
      <c r="J75">
        <f t="shared" ref="J75:J79" si="85">I75*(8/20)</f>
        <v>-674.40000000000009</v>
      </c>
      <c r="L75">
        <f t="shared" ref="L75:L77" si="86">I75*(8/20)</f>
        <v>-674.40000000000009</v>
      </c>
      <c r="N75">
        <f t="shared" ref="N75:N77" si="87">I75*(2/20)</f>
        <v>-168.60000000000002</v>
      </c>
      <c r="S75">
        <f t="shared" ref="S75:S77" si="88">I75*(2/20)</f>
        <v>-168.60000000000002</v>
      </c>
      <c r="U75">
        <f t="shared" si="70"/>
        <v>-1686</v>
      </c>
      <c r="W75">
        <v>2008</v>
      </c>
      <c r="X75">
        <f t="shared" si="71"/>
        <v>20376.49446486928</v>
      </c>
      <c r="Y75">
        <f t="shared" si="72"/>
        <v>17314.795915032682</v>
      </c>
      <c r="Z75">
        <f t="shared" si="73"/>
        <v>4418.9856413398684</v>
      </c>
      <c r="AA75">
        <f t="shared" si="74"/>
        <v>36.261111111111113</v>
      </c>
      <c r="AB75">
        <f t="shared" si="75"/>
        <v>6305.4831154684098</v>
      </c>
      <c r="AC75">
        <f t="shared" si="76"/>
        <v>153.31944444444446</v>
      </c>
      <c r="AD75">
        <f t="shared" si="77"/>
        <v>1655.8520356753806</v>
      </c>
      <c r="AE75">
        <f t="shared" si="78"/>
        <v>533.57625272331154</v>
      </c>
      <c r="AF75">
        <f t="shared" si="79"/>
        <v>2511.2794117647063</v>
      </c>
      <c r="AG75">
        <f t="shared" si="80"/>
        <v>19.384259259259125</v>
      </c>
      <c r="AH75">
        <f t="shared" si="81"/>
        <v>767.56834831154652</v>
      </c>
    </row>
    <row r="76" spans="1:34">
      <c r="A76">
        <v>2009</v>
      </c>
      <c r="B76">
        <v>12</v>
      </c>
      <c r="C76" s="1" t="s">
        <v>46</v>
      </c>
      <c r="D76" t="s">
        <v>18</v>
      </c>
      <c r="E76" t="s">
        <v>13</v>
      </c>
      <c r="G76">
        <v>2009</v>
      </c>
      <c r="H76">
        <v>9899</v>
      </c>
      <c r="I76">
        <v>9899</v>
      </c>
      <c r="J76">
        <f t="shared" si="85"/>
        <v>3959.6000000000004</v>
      </c>
      <c r="L76">
        <f t="shared" si="86"/>
        <v>3959.6000000000004</v>
      </c>
      <c r="N76">
        <f t="shared" si="87"/>
        <v>989.90000000000009</v>
      </c>
      <c r="S76">
        <f t="shared" si="88"/>
        <v>989.90000000000009</v>
      </c>
      <c r="U76">
        <f t="shared" si="70"/>
        <v>9899</v>
      </c>
      <c r="W76">
        <v>2009</v>
      </c>
      <c r="X76">
        <f t="shared" si="71"/>
        <v>24336.094464869282</v>
      </c>
      <c r="Y76">
        <f t="shared" si="72"/>
        <v>17314.795915032682</v>
      </c>
      <c r="Z76">
        <f t="shared" si="73"/>
        <v>8378.5856413398687</v>
      </c>
      <c r="AA76">
        <f t="shared" si="74"/>
        <v>36.261111111111113</v>
      </c>
      <c r="AB76">
        <f t="shared" si="75"/>
        <v>7295.3831154684103</v>
      </c>
      <c r="AC76">
        <f t="shared" si="76"/>
        <v>153.31944444444446</v>
      </c>
      <c r="AD76">
        <f t="shared" si="77"/>
        <v>1655.8520356753806</v>
      </c>
      <c r="AE76">
        <f t="shared" si="78"/>
        <v>533.57625272331154</v>
      </c>
      <c r="AF76">
        <f t="shared" si="79"/>
        <v>2511.2794117647063</v>
      </c>
      <c r="AG76">
        <f t="shared" si="80"/>
        <v>1009.2842592592592</v>
      </c>
      <c r="AH76">
        <f t="shared" si="81"/>
        <v>767.56834831154652</v>
      </c>
    </row>
    <row r="77" spans="1:34">
      <c r="A77">
        <v>2010</v>
      </c>
      <c r="B77">
        <v>6</v>
      </c>
      <c r="C77" s="1" t="s">
        <v>46</v>
      </c>
      <c r="D77" t="s">
        <v>18</v>
      </c>
      <c r="E77" t="s">
        <v>13</v>
      </c>
      <c r="G77">
        <v>2010</v>
      </c>
      <c r="H77">
        <v>10871</v>
      </c>
      <c r="I77">
        <f>10871*(6/12)</f>
        <v>5435.5</v>
      </c>
      <c r="J77">
        <f t="shared" si="85"/>
        <v>2174.2000000000003</v>
      </c>
      <c r="L77">
        <f t="shared" si="86"/>
        <v>2174.2000000000003</v>
      </c>
      <c r="N77">
        <f t="shared" si="87"/>
        <v>543.55000000000007</v>
      </c>
      <c r="S77">
        <f t="shared" si="88"/>
        <v>543.55000000000007</v>
      </c>
      <c r="U77">
        <f t="shared" si="70"/>
        <v>5435.5000000000009</v>
      </c>
      <c r="W77">
        <v>2010</v>
      </c>
      <c r="X77">
        <f t="shared" si="71"/>
        <v>26510.294464869283</v>
      </c>
      <c r="Y77">
        <f t="shared" si="72"/>
        <v>17314.795915032682</v>
      </c>
      <c r="Z77">
        <f t="shared" si="73"/>
        <v>10552.785641339869</v>
      </c>
      <c r="AA77">
        <f t="shared" si="74"/>
        <v>36.261111111111113</v>
      </c>
      <c r="AB77">
        <f t="shared" si="75"/>
        <v>7838.9331154684105</v>
      </c>
      <c r="AC77">
        <f t="shared" si="76"/>
        <v>153.31944444444446</v>
      </c>
      <c r="AD77">
        <f t="shared" si="77"/>
        <v>1655.8520356753806</v>
      </c>
      <c r="AE77">
        <f t="shared" si="78"/>
        <v>533.57625272331154</v>
      </c>
      <c r="AF77">
        <f t="shared" si="79"/>
        <v>2511.2794117647063</v>
      </c>
      <c r="AG77">
        <f t="shared" si="80"/>
        <v>1552.8342592592594</v>
      </c>
      <c r="AH77">
        <f t="shared" si="81"/>
        <v>767.56834831154652</v>
      </c>
    </row>
    <row r="78" spans="1:34">
      <c r="A78">
        <v>2010</v>
      </c>
      <c r="B78">
        <v>6</v>
      </c>
      <c r="C78" s="1" t="s">
        <v>48</v>
      </c>
      <c r="D78" t="s">
        <v>18</v>
      </c>
      <c r="E78" t="s">
        <v>13</v>
      </c>
      <c r="G78">
        <v>2010</v>
      </c>
      <c r="H78">
        <v>10871</v>
      </c>
      <c r="I78">
        <f>10871*(6/12)</f>
        <v>5435.5</v>
      </c>
      <c r="J78">
        <f t="shared" si="85"/>
        <v>2174.2000000000003</v>
      </c>
      <c r="K78">
        <f>I78*(8/20)</f>
        <v>2174.2000000000003</v>
      </c>
      <c r="N78">
        <f t="shared" ref="N78" si="89">I78*(2/20)</f>
        <v>543.55000000000007</v>
      </c>
      <c r="S78">
        <f>I78*(2/20)</f>
        <v>543.55000000000007</v>
      </c>
      <c r="U78">
        <f t="shared" si="70"/>
        <v>5435.5000000000009</v>
      </c>
      <c r="W78">
        <v>2010</v>
      </c>
      <c r="X78">
        <f t="shared" si="71"/>
        <v>28684.494464869284</v>
      </c>
      <c r="Y78">
        <f t="shared" si="72"/>
        <v>19488.995915032683</v>
      </c>
      <c r="Z78">
        <f t="shared" si="73"/>
        <v>10552.785641339869</v>
      </c>
      <c r="AA78">
        <f t="shared" si="74"/>
        <v>36.261111111111113</v>
      </c>
      <c r="AB78">
        <f t="shared" si="75"/>
        <v>8382.4831154684107</v>
      </c>
      <c r="AC78">
        <f t="shared" si="76"/>
        <v>153.31944444444446</v>
      </c>
      <c r="AD78">
        <f t="shared" si="77"/>
        <v>1655.8520356753806</v>
      </c>
      <c r="AE78">
        <f t="shared" si="78"/>
        <v>533.57625272331154</v>
      </c>
      <c r="AF78">
        <f t="shared" si="79"/>
        <v>2511.2794117647063</v>
      </c>
      <c r="AG78">
        <f t="shared" si="80"/>
        <v>2096.3842592592596</v>
      </c>
      <c r="AH78">
        <f t="shared" si="81"/>
        <v>767.56834831154652</v>
      </c>
    </row>
    <row r="79" spans="1:34">
      <c r="A79">
        <v>2011</v>
      </c>
      <c r="B79">
        <v>6</v>
      </c>
      <c r="C79" s="1" t="s">
        <v>48</v>
      </c>
      <c r="D79" t="s">
        <v>18</v>
      </c>
      <c r="E79" t="s">
        <v>13</v>
      </c>
      <c r="G79">
        <v>2011</v>
      </c>
      <c r="H79">
        <v>4509</v>
      </c>
      <c r="I79">
        <f>4509*(6/12)</f>
        <v>2254.5</v>
      </c>
      <c r="J79">
        <f t="shared" si="85"/>
        <v>901.80000000000007</v>
      </c>
      <c r="K79">
        <f>I79*(8/20)</f>
        <v>901.80000000000007</v>
      </c>
      <c r="N79">
        <f t="shared" ref="N79" si="90">I79*(2/20)</f>
        <v>225.45000000000002</v>
      </c>
      <c r="S79">
        <f>I79*(2/20)</f>
        <v>225.45000000000002</v>
      </c>
      <c r="U79">
        <f t="shared" si="70"/>
        <v>2254.5</v>
      </c>
      <c r="W79">
        <v>2011</v>
      </c>
      <c r="X79">
        <f t="shared" si="71"/>
        <v>29586.294464869283</v>
      </c>
      <c r="Y79">
        <f t="shared" si="72"/>
        <v>20390.795915032682</v>
      </c>
      <c r="Z79">
        <f t="shared" si="73"/>
        <v>10552.785641339869</v>
      </c>
      <c r="AA79">
        <f t="shared" si="74"/>
        <v>36.261111111111113</v>
      </c>
      <c r="AB79">
        <f t="shared" si="75"/>
        <v>8607.9331154684114</v>
      </c>
      <c r="AC79">
        <f t="shared" si="76"/>
        <v>153.31944444444446</v>
      </c>
      <c r="AD79">
        <f t="shared" si="77"/>
        <v>1655.8520356753806</v>
      </c>
      <c r="AE79">
        <f t="shared" si="78"/>
        <v>533.57625272331154</v>
      </c>
      <c r="AF79">
        <f t="shared" si="79"/>
        <v>2511.2794117647063</v>
      </c>
      <c r="AG79">
        <f t="shared" si="80"/>
        <v>2321.8342592592594</v>
      </c>
      <c r="AH79">
        <f t="shared" si="81"/>
        <v>767.56834831154652</v>
      </c>
    </row>
    <row r="80" spans="1:34">
      <c r="A80">
        <v>2011</v>
      </c>
      <c r="B80">
        <v>6</v>
      </c>
      <c r="C80" s="1" t="s">
        <v>50</v>
      </c>
      <c r="D80" t="s">
        <v>35</v>
      </c>
      <c r="E80" t="s">
        <v>13</v>
      </c>
      <c r="G80">
        <v>2011</v>
      </c>
      <c r="H80">
        <v>4509</v>
      </c>
      <c r="I80">
        <f>4509*(6/12)</f>
        <v>2254.5</v>
      </c>
      <c r="K80">
        <f>I80*(6/19)</f>
        <v>711.9473684210526</v>
      </c>
      <c r="L80">
        <f>I80*(6/19)</f>
        <v>711.9473684210526</v>
      </c>
      <c r="N80">
        <f>I80*(2/19)</f>
        <v>237.31578947368419</v>
      </c>
      <c r="P80">
        <f>I80*(2/19)</f>
        <v>237.31578947368419</v>
      </c>
      <c r="R80">
        <f>I80*(1/19)</f>
        <v>118.6578947368421</v>
      </c>
      <c r="S80">
        <f>I80*(2/19)</f>
        <v>237.31578947368419</v>
      </c>
      <c r="U80">
        <f t="shared" si="70"/>
        <v>2254.5</v>
      </c>
      <c r="W80">
        <v>2011</v>
      </c>
      <c r="X80">
        <f t="shared" si="71"/>
        <v>29586.294464869283</v>
      </c>
      <c r="Y80">
        <f t="shared" si="72"/>
        <v>21102.743283453736</v>
      </c>
      <c r="Z80">
        <f t="shared" si="73"/>
        <v>11264.733009760923</v>
      </c>
      <c r="AA80">
        <f t="shared" si="74"/>
        <v>36.261111111111113</v>
      </c>
      <c r="AB80">
        <f t="shared" si="75"/>
        <v>8845.2489049420965</v>
      </c>
      <c r="AC80">
        <f t="shared" si="76"/>
        <v>153.31944444444446</v>
      </c>
      <c r="AD80">
        <f t="shared" si="77"/>
        <v>1893.1678251490648</v>
      </c>
      <c r="AE80">
        <f t="shared" si="78"/>
        <v>533.57625272331154</v>
      </c>
      <c r="AF80">
        <f t="shared" si="79"/>
        <v>2629.9373065015484</v>
      </c>
      <c r="AG80">
        <f t="shared" si="80"/>
        <v>2559.1500487329436</v>
      </c>
      <c r="AH80">
        <f t="shared" si="81"/>
        <v>767.56834831154652</v>
      </c>
    </row>
    <row r="81" spans="1:35">
      <c r="A81">
        <v>2012</v>
      </c>
      <c r="B81">
        <v>12</v>
      </c>
      <c r="C81" s="1" t="s">
        <v>50</v>
      </c>
      <c r="D81" t="s">
        <v>35</v>
      </c>
      <c r="E81" t="s">
        <v>13</v>
      </c>
      <c r="G81">
        <v>2012</v>
      </c>
      <c r="H81">
        <v>4249</v>
      </c>
      <c r="I81">
        <v>4249</v>
      </c>
      <c r="K81">
        <f t="shared" ref="K81:K83" si="91">I81*(6/19)</f>
        <v>1341.7894736842104</v>
      </c>
      <c r="L81">
        <f t="shared" ref="L81:L83" si="92">I81*(6/19)</f>
        <v>1341.7894736842104</v>
      </c>
      <c r="N81">
        <f t="shared" ref="N81:N83" si="93">I81*(2/19)</f>
        <v>447.26315789473682</v>
      </c>
      <c r="P81">
        <f t="shared" ref="P81:P83" si="94">I81*(2/19)</f>
        <v>447.26315789473682</v>
      </c>
      <c r="R81">
        <f t="shared" ref="R81:R83" si="95">I81*(1/19)</f>
        <v>223.63157894736841</v>
      </c>
      <c r="S81">
        <f t="shared" ref="S81:S83" si="96">I81*(2/19)</f>
        <v>447.26315789473682</v>
      </c>
      <c r="U81">
        <f t="shared" si="70"/>
        <v>4248.9999999999991</v>
      </c>
      <c r="W81">
        <v>2012</v>
      </c>
      <c r="X81">
        <f t="shared" si="71"/>
        <v>29586.294464869283</v>
      </c>
      <c r="Y81">
        <f t="shared" si="72"/>
        <v>22444.532757137946</v>
      </c>
      <c r="Z81">
        <f t="shared" si="73"/>
        <v>12606.522483445133</v>
      </c>
      <c r="AA81">
        <f t="shared" si="74"/>
        <v>36.261111111111113</v>
      </c>
      <c r="AB81">
        <f t="shared" si="75"/>
        <v>9292.5120628368331</v>
      </c>
      <c r="AC81">
        <f t="shared" si="76"/>
        <v>153.31944444444446</v>
      </c>
      <c r="AD81">
        <f t="shared" si="77"/>
        <v>2340.4309830438015</v>
      </c>
      <c r="AE81">
        <f t="shared" si="78"/>
        <v>533.57625272331154</v>
      </c>
      <c r="AF81">
        <f t="shared" si="79"/>
        <v>2853.5688854489167</v>
      </c>
      <c r="AG81">
        <f t="shared" si="80"/>
        <v>3006.4132066276802</v>
      </c>
      <c r="AH81">
        <f t="shared" si="81"/>
        <v>767.56834831154652</v>
      </c>
    </row>
    <row r="82" spans="1:35">
      <c r="A82">
        <v>2013</v>
      </c>
      <c r="B82">
        <v>12</v>
      </c>
      <c r="C82" s="1" t="s">
        <v>50</v>
      </c>
      <c r="D82" t="s">
        <v>35</v>
      </c>
      <c r="E82" t="s">
        <v>13</v>
      </c>
      <c r="G82">
        <v>2013</v>
      </c>
      <c r="H82">
        <v>5828</v>
      </c>
      <c r="I82">
        <v>5828</v>
      </c>
      <c r="K82">
        <f t="shared" si="91"/>
        <v>1840.4210526315787</v>
      </c>
      <c r="L82">
        <f t="shared" si="92"/>
        <v>1840.4210526315787</v>
      </c>
      <c r="N82">
        <f t="shared" si="93"/>
        <v>613.47368421052624</v>
      </c>
      <c r="P82">
        <f t="shared" si="94"/>
        <v>613.47368421052624</v>
      </c>
      <c r="R82">
        <f t="shared" si="95"/>
        <v>306.73684210526312</v>
      </c>
      <c r="S82">
        <f t="shared" si="96"/>
        <v>613.47368421052624</v>
      </c>
      <c r="U82">
        <f t="shared" si="70"/>
        <v>5828</v>
      </c>
      <c r="W82">
        <v>2013</v>
      </c>
      <c r="X82">
        <f t="shared" si="71"/>
        <v>29586.294464869283</v>
      </c>
      <c r="Y82">
        <f t="shared" si="72"/>
        <v>24284.953809769526</v>
      </c>
      <c r="Z82">
        <f t="shared" si="73"/>
        <v>14446.943536076711</v>
      </c>
      <c r="AA82">
        <f t="shared" si="74"/>
        <v>36.261111111111113</v>
      </c>
      <c r="AB82">
        <f t="shared" si="75"/>
        <v>9905.9857470473598</v>
      </c>
      <c r="AC82">
        <f t="shared" si="76"/>
        <v>153.31944444444446</v>
      </c>
      <c r="AD82">
        <f t="shared" si="77"/>
        <v>2953.9046672543277</v>
      </c>
      <c r="AE82">
        <f t="shared" si="78"/>
        <v>533.57625272331154</v>
      </c>
      <c r="AF82">
        <f t="shared" si="79"/>
        <v>3160.3057275541796</v>
      </c>
      <c r="AG82">
        <f t="shared" si="80"/>
        <v>3619.8868908382065</v>
      </c>
      <c r="AH82">
        <f t="shared" si="81"/>
        <v>767.56834831154652</v>
      </c>
    </row>
    <row r="83" spans="1:35">
      <c r="A83">
        <v>2014</v>
      </c>
      <c r="B83">
        <v>6</v>
      </c>
      <c r="C83" s="1" t="s">
        <v>50</v>
      </c>
      <c r="D83" t="s">
        <v>35</v>
      </c>
      <c r="E83" t="s">
        <v>13</v>
      </c>
      <c r="G83">
        <v>2014</v>
      </c>
      <c r="H83">
        <v>5391</v>
      </c>
      <c r="I83">
        <f>5391*(6/12)</f>
        <v>2695.5</v>
      </c>
      <c r="K83">
        <f t="shared" si="91"/>
        <v>851.21052631578948</v>
      </c>
      <c r="L83">
        <f t="shared" si="92"/>
        <v>851.21052631578948</v>
      </c>
      <c r="N83">
        <f t="shared" si="93"/>
        <v>283.73684210526312</v>
      </c>
      <c r="P83">
        <f t="shared" si="94"/>
        <v>283.73684210526312</v>
      </c>
      <c r="R83">
        <f t="shared" si="95"/>
        <v>141.86842105263156</v>
      </c>
      <c r="S83">
        <f t="shared" si="96"/>
        <v>283.73684210526312</v>
      </c>
      <c r="U83">
        <f t="shared" si="70"/>
        <v>2695.5</v>
      </c>
      <c r="W83">
        <v>2014</v>
      </c>
      <c r="X83">
        <f t="shared" si="71"/>
        <v>29586.294464869283</v>
      </c>
      <c r="Y83">
        <f t="shared" si="72"/>
        <v>25136.164336085316</v>
      </c>
      <c r="Z83">
        <f t="shared" si="73"/>
        <v>15298.154062392501</v>
      </c>
      <c r="AA83">
        <f t="shared" si="74"/>
        <v>36.261111111111113</v>
      </c>
      <c r="AB83">
        <f t="shared" si="75"/>
        <v>10189.722589152623</v>
      </c>
      <c r="AC83">
        <f t="shared" si="76"/>
        <v>153.31944444444446</v>
      </c>
      <c r="AD83">
        <f t="shared" si="77"/>
        <v>3237.6415093595906</v>
      </c>
      <c r="AE83">
        <f t="shared" si="78"/>
        <v>533.57625272331154</v>
      </c>
      <c r="AF83">
        <f t="shared" si="79"/>
        <v>3302.1741486068113</v>
      </c>
      <c r="AG83">
        <f t="shared" si="80"/>
        <v>3903.6237329434698</v>
      </c>
      <c r="AH83">
        <f t="shared" si="81"/>
        <v>767.56834831154652</v>
      </c>
    </row>
    <row r="84" spans="1:35">
      <c r="A84">
        <v>2014</v>
      </c>
      <c r="B84">
        <v>6</v>
      </c>
      <c r="C84" s="1" t="s">
        <v>52</v>
      </c>
      <c r="D84" t="s">
        <v>35</v>
      </c>
      <c r="E84" t="s">
        <v>13</v>
      </c>
      <c r="G84">
        <v>2014</v>
      </c>
      <c r="H84">
        <v>5391</v>
      </c>
      <c r="I84">
        <f>5391*(6/12)</f>
        <v>2695.5</v>
      </c>
      <c r="K84">
        <f>I84*(6/17)</f>
        <v>951.35294117647061</v>
      </c>
      <c r="L84">
        <f>I84*(6/17)</f>
        <v>951.35294117647061</v>
      </c>
      <c r="N84">
        <f>I84*(2/17)</f>
        <v>317.11764705882354</v>
      </c>
      <c r="R84">
        <f>I84*(1/17)</f>
        <v>158.55882352941177</v>
      </c>
      <c r="S84">
        <f>I84*(2/17)</f>
        <v>317.11764705882354</v>
      </c>
      <c r="U84">
        <f t="shared" si="70"/>
        <v>2695.5</v>
      </c>
      <c r="W84">
        <v>2014</v>
      </c>
      <c r="X84">
        <f t="shared" si="71"/>
        <v>29586.294464869283</v>
      </c>
      <c r="Y84">
        <f t="shared" si="72"/>
        <v>26087.517277261788</v>
      </c>
      <c r="Z84">
        <f t="shared" si="73"/>
        <v>16249.507003568971</v>
      </c>
      <c r="AA84">
        <f t="shared" si="74"/>
        <v>36.261111111111113</v>
      </c>
      <c r="AB84">
        <f t="shared" si="75"/>
        <v>10506.840236211447</v>
      </c>
      <c r="AC84">
        <f t="shared" si="76"/>
        <v>153.31944444444446</v>
      </c>
      <c r="AD84">
        <f t="shared" si="77"/>
        <v>3237.6415093595906</v>
      </c>
      <c r="AE84">
        <f t="shared" si="78"/>
        <v>533.57625272331154</v>
      </c>
      <c r="AF84">
        <f t="shared" si="79"/>
        <v>3460.732972136223</v>
      </c>
      <c r="AG84">
        <f t="shared" si="80"/>
        <v>4220.7413800022932</v>
      </c>
      <c r="AH84">
        <f t="shared" si="81"/>
        <v>767.56834831154652</v>
      </c>
    </row>
    <row r="85" spans="1:35">
      <c r="A85">
        <v>2015</v>
      </c>
      <c r="B85">
        <v>5</v>
      </c>
      <c r="C85" s="1" t="s">
        <v>52</v>
      </c>
      <c r="D85" t="s">
        <v>35</v>
      </c>
      <c r="E85" t="s">
        <v>13</v>
      </c>
      <c r="G85">
        <v>2015</v>
      </c>
      <c r="H85">
        <v>4678</v>
      </c>
      <c r="I85">
        <f>4678*(5/12)</f>
        <v>1949.1666666666667</v>
      </c>
      <c r="K85">
        <f>I85*(6/17)</f>
        <v>687.94117647058829</v>
      </c>
      <c r="L85">
        <f>I85*(6/17)</f>
        <v>687.94117647058829</v>
      </c>
      <c r="N85">
        <f>I85*(2/17)</f>
        <v>229.31372549019608</v>
      </c>
      <c r="R85">
        <f>I85*(1/17)</f>
        <v>114.65686274509804</v>
      </c>
      <c r="S85">
        <f>I85*(2/17)</f>
        <v>229.31372549019608</v>
      </c>
      <c r="U85">
        <f t="shared" si="70"/>
        <v>1949.1666666666667</v>
      </c>
      <c r="W85">
        <v>2015</v>
      </c>
      <c r="X85">
        <f t="shared" si="71"/>
        <v>29586.294464869283</v>
      </c>
      <c r="Y85">
        <f t="shared" si="72"/>
        <v>26775.458453732375</v>
      </c>
      <c r="Z85">
        <f t="shared" si="73"/>
        <v>16937.448180039559</v>
      </c>
      <c r="AA85">
        <f t="shared" si="74"/>
        <v>36.261111111111113</v>
      </c>
      <c r="AB85">
        <f t="shared" si="75"/>
        <v>10736.153961701642</v>
      </c>
      <c r="AC85">
        <f t="shared" si="76"/>
        <v>153.31944444444446</v>
      </c>
      <c r="AD85">
        <f t="shared" si="77"/>
        <v>3237.6415093595906</v>
      </c>
      <c r="AE85">
        <f t="shared" si="78"/>
        <v>533.57625272331154</v>
      </c>
      <c r="AF85">
        <f t="shared" si="79"/>
        <v>3575.3898348813209</v>
      </c>
      <c r="AG85">
        <f t="shared" si="80"/>
        <v>4450.055105492489</v>
      </c>
      <c r="AH85">
        <f t="shared" si="81"/>
        <v>767.56834831154652</v>
      </c>
    </row>
    <row r="86" spans="1:35">
      <c r="A86">
        <v>2015</v>
      </c>
      <c r="B86">
        <v>7</v>
      </c>
      <c r="C86" s="1" t="s">
        <v>54</v>
      </c>
      <c r="D86" t="s">
        <v>18</v>
      </c>
      <c r="E86" t="s">
        <v>13</v>
      </c>
      <c r="G86">
        <v>2015</v>
      </c>
      <c r="H86">
        <v>4678</v>
      </c>
      <c r="I86">
        <f>4678*(7/12)</f>
        <v>2728.8333333333335</v>
      </c>
      <c r="J86">
        <f>I86*(6/14)</f>
        <v>1169.5</v>
      </c>
      <c r="K86">
        <f>I86*(4/14)</f>
        <v>779.66666666666663</v>
      </c>
      <c r="Q86">
        <f>I86*(4/14)</f>
        <v>779.66666666666663</v>
      </c>
      <c r="U86">
        <f t="shared" si="70"/>
        <v>2728.833333333333</v>
      </c>
      <c r="W86">
        <v>2015</v>
      </c>
      <c r="X86">
        <f t="shared" si="71"/>
        <v>30755.794464869283</v>
      </c>
      <c r="Y86">
        <f t="shared" si="72"/>
        <v>27555.125120399043</v>
      </c>
      <c r="Z86">
        <f t="shared" si="73"/>
        <v>16937.448180039559</v>
      </c>
      <c r="AA86">
        <f t="shared" si="74"/>
        <v>36.261111111111113</v>
      </c>
      <c r="AB86">
        <f t="shared" si="75"/>
        <v>10736.153961701642</v>
      </c>
      <c r="AC86">
        <f t="shared" si="76"/>
        <v>153.31944444444446</v>
      </c>
      <c r="AD86">
        <f t="shared" si="77"/>
        <v>3237.6415093595906</v>
      </c>
      <c r="AE86">
        <f t="shared" si="78"/>
        <v>1313.2429193899782</v>
      </c>
      <c r="AF86">
        <f t="shared" si="79"/>
        <v>3575.3898348813209</v>
      </c>
      <c r="AG86">
        <f t="shared" si="80"/>
        <v>4450.055105492489</v>
      </c>
      <c r="AH86">
        <f t="shared" si="81"/>
        <v>767.56834831154652</v>
      </c>
    </row>
    <row r="87" spans="1:35">
      <c r="A87">
        <v>2016</v>
      </c>
      <c r="B87">
        <v>12</v>
      </c>
      <c r="C87" s="1" t="s">
        <v>54</v>
      </c>
      <c r="D87" t="s">
        <v>18</v>
      </c>
      <c r="E87" t="s">
        <v>13</v>
      </c>
      <c r="G87">
        <v>2016</v>
      </c>
      <c r="H87">
        <v>2545</v>
      </c>
      <c r="I87">
        <v>2545</v>
      </c>
      <c r="J87">
        <f t="shared" ref="J87:J90" si="97">I87*(6/14)</f>
        <v>1090.7142857142856</v>
      </c>
      <c r="K87">
        <f t="shared" ref="K87:K90" si="98">I87*(4/14)</f>
        <v>727.14285714285711</v>
      </c>
      <c r="Q87">
        <f t="shared" ref="Q87:Q90" si="99">I87*(4/14)</f>
        <v>727.14285714285711</v>
      </c>
      <c r="U87">
        <f t="shared" si="70"/>
        <v>2545</v>
      </c>
      <c r="W87">
        <v>2016</v>
      </c>
      <c r="X87">
        <f t="shared" si="71"/>
        <v>31846.508750583569</v>
      </c>
      <c r="Y87">
        <f t="shared" si="72"/>
        <v>28282.267977541902</v>
      </c>
      <c r="Z87">
        <f t="shared" si="73"/>
        <v>16937.448180039559</v>
      </c>
      <c r="AA87">
        <f t="shared" si="74"/>
        <v>36.261111111111113</v>
      </c>
      <c r="AB87">
        <f t="shared" si="75"/>
        <v>10736.153961701642</v>
      </c>
      <c r="AC87">
        <f t="shared" si="76"/>
        <v>153.31944444444446</v>
      </c>
      <c r="AD87">
        <f t="shared" si="77"/>
        <v>3237.6415093595906</v>
      </c>
      <c r="AE87">
        <f t="shared" si="78"/>
        <v>2040.3857765328353</v>
      </c>
      <c r="AF87">
        <f t="shared" si="79"/>
        <v>3575.3898348813209</v>
      </c>
      <c r="AG87">
        <f t="shared" si="80"/>
        <v>4450.055105492489</v>
      </c>
      <c r="AH87">
        <f t="shared" si="81"/>
        <v>767.56834831154652</v>
      </c>
    </row>
    <row r="88" spans="1:35">
      <c r="A88">
        <v>2017</v>
      </c>
      <c r="B88">
        <v>12</v>
      </c>
      <c r="C88" s="1" t="s">
        <v>54</v>
      </c>
      <c r="D88" t="s">
        <v>18</v>
      </c>
      <c r="E88" t="s">
        <v>13</v>
      </c>
      <c r="G88">
        <v>2017</v>
      </c>
      <c r="H88">
        <v>3421</v>
      </c>
      <c r="I88">
        <v>3421</v>
      </c>
      <c r="J88">
        <f t="shared" si="97"/>
        <v>1466.1428571428571</v>
      </c>
      <c r="K88">
        <f t="shared" si="98"/>
        <v>977.42857142857133</v>
      </c>
      <c r="Q88">
        <f t="shared" si="99"/>
        <v>977.42857142857133</v>
      </c>
      <c r="U88">
        <f t="shared" si="70"/>
        <v>3421</v>
      </c>
      <c r="W88">
        <v>2017</v>
      </c>
      <c r="X88">
        <f t="shared" si="71"/>
        <v>33312.651607726424</v>
      </c>
      <c r="Y88">
        <f t="shared" si="72"/>
        <v>29259.696548970474</v>
      </c>
      <c r="Z88">
        <f t="shared" si="73"/>
        <v>16937.448180039559</v>
      </c>
      <c r="AA88">
        <f t="shared" si="74"/>
        <v>36.261111111111113</v>
      </c>
      <c r="AB88">
        <f t="shared" si="75"/>
        <v>10736.153961701642</v>
      </c>
      <c r="AC88">
        <f t="shared" si="76"/>
        <v>153.31944444444446</v>
      </c>
      <c r="AD88">
        <f t="shared" si="77"/>
        <v>3237.6415093595906</v>
      </c>
      <c r="AE88">
        <f t="shared" si="78"/>
        <v>3017.8143479614064</v>
      </c>
      <c r="AF88">
        <f t="shared" si="79"/>
        <v>3575.3898348813209</v>
      </c>
      <c r="AG88">
        <f t="shared" si="80"/>
        <v>4450.055105492489</v>
      </c>
      <c r="AH88">
        <f t="shared" si="81"/>
        <v>767.56834831154652</v>
      </c>
    </row>
    <row r="89" spans="1:35">
      <c r="A89">
        <v>2018</v>
      </c>
      <c r="B89">
        <v>12</v>
      </c>
      <c r="C89" s="1" t="s">
        <v>54</v>
      </c>
      <c r="D89" t="s">
        <v>18</v>
      </c>
      <c r="E89" t="s">
        <v>13</v>
      </c>
      <c r="G89">
        <v>2018</v>
      </c>
      <c r="H89">
        <v>-800</v>
      </c>
      <c r="I89">
        <v>-800</v>
      </c>
      <c r="J89">
        <f t="shared" si="97"/>
        <v>-342.85714285714283</v>
      </c>
      <c r="K89">
        <f t="shared" si="98"/>
        <v>-228.57142857142856</v>
      </c>
      <c r="Q89">
        <f t="shared" si="99"/>
        <v>-228.57142857142856</v>
      </c>
      <c r="U89">
        <f t="shared" si="70"/>
        <v>-799.99999999999989</v>
      </c>
      <c r="W89">
        <v>2018</v>
      </c>
      <c r="X89">
        <f t="shared" si="71"/>
        <v>32969.794464869279</v>
      </c>
      <c r="Y89">
        <f t="shared" si="72"/>
        <v>29031.125120399047</v>
      </c>
      <c r="Z89">
        <f t="shared" si="73"/>
        <v>16937.448180039559</v>
      </c>
      <c r="AA89">
        <f t="shared" si="74"/>
        <v>36.261111111111113</v>
      </c>
      <c r="AB89">
        <f t="shared" si="75"/>
        <v>10736.153961701642</v>
      </c>
      <c r="AC89">
        <f t="shared" si="76"/>
        <v>153.31944444444446</v>
      </c>
      <c r="AD89">
        <f t="shared" si="77"/>
        <v>3237.6415093595906</v>
      </c>
      <c r="AE89">
        <f t="shared" si="78"/>
        <v>2789.2429193899779</v>
      </c>
      <c r="AF89">
        <f t="shared" si="79"/>
        <v>3575.3898348813209</v>
      </c>
      <c r="AG89">
        <f t="shared" si="80"/>
        <v>4450.055105492489</v>
      </c>
      <c r="AH89">
        <f t="shared" si="81"/>
        <v>767.56834831154652</v>
      </c>
    </row>
    <row r="90" spans="1:35">
      <c r="A90">
        <v>2019</v>
      </c>
      <c r="B90">
        <v>5</v>
      </c>
      <c r="C90" s="1" t="s">
        <v>54</v>
      </c>
      <c r="D90" t="s">
        <v>18</v>
      </c>
      <c r="E90" t="s">
        <v>13</v>
      </c>
      <c r="G90">
        <v>2019</v>
      </c>
      <c r="H90">
        <v>1395</v>
      </c>
      <c r="I90">
        <f>1395*(5/12)</f>
        <v>581.25</v>
      </c>
      <c r="J90">
        <f t="shared" si="97"/>
        <v>249.10714285714283</v>
      </c>
      <c r="K90">
        <f t="shared" si="98"/>
        <v>166.07142857142856</v>
      </c>
      <c r="Q90">
        <f t="shared" si="99"/>
        <v>166.07142857142856</v>
      </c>
      <c r="U90">
        <f t="shared" si="70"/>
        <v>581.25</v>
      </c>
      <c r="W90">
        <v>2019</v>
      </c>
      <c r="X90">
        <f t="shared" si="71"/>
        <v>33218.901607726424</v>
      </c>
      <c r="Y90">
        <f t="shared" si="72"/>
        <v>29197.196548970474</v>
      </c>
      <c r="Z90">
        <f t="shared" si="73"/>
        <v>16937.448180039559</v>
      </c>
      <c r="AA90">
        <f t="shared" si="74"/>
        <v>36.261111111111113</v>
      </c>
      <c r="AB90">
        <f t="shared" si="75"/>
        <v>10736.153961701642</v>
      </c>
      <c r="AC90">
        <f t="shared" si="76"/>
        <v>153.31944444444446</v>
      </c>
      <c r="AD90">
        <f t="shared" si="77"/>
        <v>3237.6415093595906</v>
      </c>
      <c r="AE90">
        <f t="shared" si="78"/>
        <v>2955.3143479614064</v>
      </c>
      <c r="AF90">
        <f t="shared" si="79"/>
        <v>3575.3898348813209</v>
      </c>
      <c r="AG90">
        <f t="shared" si="80"/>
        <v>4450.055105492489</v>
      </c>
      <c r="AH90">
        <f t="shared" si="81"/>
        <v>767.56834831154652</v>
      </c>
    </row>
    <row r="91" spans="1:35">
      <c r="A91">
        <v>2019</v>
      </c>
      <c r="B91">
        <v>6</v>
      </c>
      <c r="C91" s="1" t="s">
        <v>56</v>
      </c>
      <c r="D91" t="s">
        <v>12</v>
      </c>
      <c r="E91" t="s">
        <v>13</v>
      </c>
      <c r="G91">
        <v>2019</v>
      </c>
      <c r="H91">
        <v>1395</v>
      </c>
      <c r="I91">
        <f>1395*(6/12)</f>
        <v>697.5</v>
      </c>
      <c r="J91">
        <f>I91*(5/19)</f>
        <v>183.55263157894737</v>
      </c>
      <c r="L91">
        <f>I91*(7/19)</f>
        <v>256.9736842105263</v>
      </c>
      <c r="N91">
        <f>I91*(2/19)</f>
        <v>73.421052631578945</v>
      </c>
      <c r="P91">
        <f>I91*(2/19)</f>
        <v>73.421052631578945</v>
      </c>
      <c r="S91">
        <f>I91*(3/19)</f>
        <v>110.13157894736841</v>
      </c>
      <c r="U91">
        <f t="shared" si="70"/>
        <v>697.5</v>
      </c>
      <c r="W91">
        <v>2019</v>
      </c>
      <c r="X91">
        <f t="shared" si="71"/>
        <v>33402.454239305371</v>
      </c>
      <c r="Y91">
        <f t="shared" si="72"/>
        <v>29197.196548970474</v>
      </c>
      <c r="Z91">
        <f t="shared" si="73"/>
        <v>17194.421864250085</v>
      </c>
      <c r="AA91">
        <f t="shared" si="74"/>
        <v>36.261111111111113</v>
      </c>
      <c r="AB91">
        <f t="shared" si="75"/>
        <v>10809.575014333221</v>
      </c>
      <c r="AC91">
        <f t="shared" si="76"/>
        <v>153.31944444444446</v>
      </c>
      <c r="AD91">
        <f t="shared" si="77"/>
        <v>3311.0625619911693</v>
      </c>
      <c r="AE91">
        <f t="shared" si="78"/>
        <v>2955.3143479614064</v>
      </c>
      <c r="AF91">
        <f t="shared" si="79"/>
        <v>3575.3898348813209</v>
      </c>
      <c r="AG91">
        <f t="shared" si="80"/>
        <v>4560.1866844398573</v>
      </c>
      <c r="AH91">
        <f t="shared" si="81"/>
        <v>767.56834831154652</v>
      </c>
    </row>
    <row r="92" spans="1:35">
      <c r="A92">
        <v>2019</v>
      </c>
      <c r="B92">
        <v>1</v>
      </c>
      <c r="C92" s="1" t="s">
        <v>58</v>
      </c>
      <c r="D92" t="s">
        <v>12</v>
      </c>
      <c r="E92" t="s">
        <v>13</v>
      </c>
      <c r="G92">
        <v>2019</v>
      </c>
      <c r="H92">
        <v>1395</v>
      </c>
      <c r="I92">
        <f>1395*(1/12)</f>
        <v>116.25</v>
      </c>
      <c r="J92">
        <f>I92*(5/19)</f>
        <v>30.592105263157894</v>
      </c>
      <c r="L92">
        <f>I92*(7/19)</f>
        <v>42.828947368421048</v>
      </c>
      <c r="N92">
        <f>I92*(2/19)</f>
        <v>12.236842105263158</v>
      </c>
      <c r="P92">
        <f>I92*(2/19)</f>
        <v>12.236842105263158</v>
      </c>
      <c r="S92">
        <f>I92*(3/19)</f>
        <v>18.355263157894736</v>
      </c>
      <c r="U92">
        <f t="shared" si="70"/>
        <v>116.25</v>
      </c>
      <c r="W92">
        <v>2019</v>
      </c>
      <c r="X92">
        <f t="shared" si="71"/>
        <v>33433.046344568531</v>
      </c>
      <c r="Y92">
        <f t="shared" si="72"/>
        <v>29197.196548970474</v>
      </c>
      <c r="Z92">
        <f t="shared" si="73"/>
        <v>17237.250811618505</v>
      </c>
      <c r="AA92">
        <f t="shared" si="74"/>
        <v>36.261111111111113</v>
      </c>
      <c r="AB92">
        <f t="shared" si="75"/>
        <v>10821.811856438484</v>
      </c>
      <c r="AC92">
        <f t="shared" si="76"/>
        <v>153.31944444444446</v>
      </c>
      <c r="AD92">
        <f t="shared" si="77"/>
        <v>3323.2994040964327</v>
      </c>
      <c r="AE92">
        <f t="shared" si="78"/>
        <v>2955.3143479614064</v>
      </c>
      <c r="AF92">
        <f t="shared" si="79"/>
        <v>3575.3898348813209</v>
      </c>
      <c r="AG92">
        <f t="shared" si="80"/>
        <v>4578.5419475977524</v>
      </c>
      <c r="AH92">
        <f t="shared" si="81"/>
        <v>767.56834831154652</v>
      </c>
    </row>
    <row r="93" spans="1:35">
      <c r="A93">
        <v>2020</v>
      </c>
      <c r="B93">
        <v>12</v>
      </c>
      <c r="C93" s="1" t="s">
        <v>58</v>
      </c>
      <c r="D93" t="s">
        <v>12</v>
      </c>
      <c r="E93" t="s">
        <v>13</v>
      </c>
      <c r="G93">
        <v>2020</v>
      </c>
      <c r="H93">
        <v>18465</v>
      </c>
      <c r="I93">
        <v>18465</v>
      </c>
      <c r="J93">
        <f t="shared" ref="J93:J95" si="100">I93*(5/19)</f>
        <v>4859.2105263157891</v>
      </c>
      <c r="L93">
        <f t="shared" ref="L93:L95" si="101">I93*(7/19)</f>
        <v>6802.894736842105</v>
      </c>
      <c r="N93">
        <f t="shared" ref="N93:N95" si="102">I93*(2/19)</f>
        <v>1943.6842105263156</v>
      </c>
      <c r="P93">
        <f t="shared" ref="P93:P95" si="103">I93*(2/19)</f>
        <v>1943.6842105263156</v>
      </c>
      <c r="S93">
        <f t="shared" ref="S93:S95" si="104">I93*(3/19)</f>
        <v>2915.5263157894733</v>
      </c>
      <c r="U93">
        <f t="shared" si="70"/>
        <v>18464.999999999996</v>
      </c>
      <c r="W93">
        <v>2020</v>
      </c>
      <c r="X93">
        <f t="shared" si="71"/>
        <v>38292.256870884317</v>
      </c>
      <c r="Y93">
        <f t="shared" si="72"/>
        <v>29197.196548970474</v>
      </c>
      <c r="Z93">
        <f t="shared" si="73"/>
        <v>24040.145548460612</v>
      </c>
      <c r="AA93">
        <f t="shared" si="74"/>
        <v>36.261111111111113</v>
      </c>
      <c r="AB93">
        <f t="shared" si="75"/>
        <v>12765.496066964799</v>
      </c>
      <c r="AC93">
        <f t="shared" si="76"/>
        <v>153.31944444444446</v>
      </c>
      <c r="AD93">
        <f t="shared" si="77"/>
        <v>5266.9836146227481</v>
      </c>
      <c r="AE93">
        <f t="shared" si="78"/>
        <v>2955.3143479614064</v>
      </c>
      <c r="AF93">
        <f t="shared" si="79"/>
        <v>3575.3898348813209</v>
      </c>
      <c r="AG93">
        <f t="shared" si="80"/>
        <v>7494.0682633872257</v>
      </c>
      <c r="AH93">
        <f t="shared" si="81"/>
        <v>767.56834831154652</v>
      </c>
    </row>
    <row r="94" spans="1:35">
      <c r="A94">
        <v>2021</v>
      </c>
      <c r="B94">
        <v>12</v>
      </c>
      <c r="C94" s="1" t="s">
        <v>58</v>
      </c>
      <c r="D94" t="s">
        <v>12</v>
      </c>
      <c r="E94" t="s">
        <v>13</v>
      </c>
      <c r="G94">
        <v>2021</v>
      </c>
      <c r="H94">
        <v>3863</v>
      </c>
      <c r="I94">
        <v>3863</v>
      </c>
      <c r="J94">
        <f t="shared" si="100"/>
        <v>1016.578947368421</v>
      </c>
      <c r="L94">
        <f t="shared" si="101"/>
        <v>1423.2105263157894</v>
      </c>
      <c r="N94">
        <f t="shared" si="102"/>
        <v>406.63157894736838</v>
      </c>
      <c r="P94">
        <f t="shared" si="103"/>
        <v>406.63157894736838</v>
      </c>
      <c r="S94">
        <f t="shared" si="104"/>
        <v>609.9473684210526</v>
      </c>
      <c r="U94">
        <f t="shared" si="70"/>
        <v>3862.9999999999995</v>
      </c>
      <c r="W94">
        <v>2021</v>
      </c>
      <c r="X94">
        <f t="shared" si="71"/>
        <v>39308.835818252737</v>
      </c>
      <c r="Y94">
        <f t="shared" si="72"/>
        <v>29197.196548970474</v>
      </c>
      <c r="Z94">
        <f t="shared" si="73"/>
        <v>25463.356074776402</v>
      </c>
      <c r="AA94">
        <f t="shared" si="74"/>
        <v>36.261111111111113</v>
      </c>
      <c r="AB94">
        <f t="shared" si="75"/>
        <v>13172.127645912167</v>
      </c>
      <c r="AC94">
        <f t="shared" si="76"/>
        <v>153.31944444444446</v>
      </c>
      <c r="AD94">
        <f t="shared" si="77"/>
        <v>5673.6151935701164</v>
      </c>
      <c r="AE94">
        <f t="shared" si="78"/>
        <v>2955.3143479614064</v>
      </c>
      <c r="AF94">
        <f t="shared" si="79"/>
        <v>3575.3898348813209</v>
      </c>
      <c r="AG94">
        <f t="shared" si="80"/>
        <v>8104.0156318082782</v>
      </c>
      <c r="AH94">
        <f t="shared" si="81"/>
        <v>767.56834831154652</v>
      </c>
    </row>
    <row r="95" spans="1:35">
      <c r="A95">
        <v>2022</v>
      </c>
      <c r="B95">
        <v>12</v>
      </c>
      <c r="C95" s="1" t="s">
        <v>58</v>
      </c>
      <c r="D95" t="s">
        <v>12</v>
      </c>
      <c r="E95" t="s">
        <v>13</v>
      </c>
      <c r="G95">
        <v>2022</v>
      </c>
      <c r="H95">
        <v>15404</v>
      </c>
      <c r="I95">
        <v>15404</v>
      </c>
      <c r="J95">
        <f t="shared" si="100"/>
        <v>4053.6842105263154</v>
      </c>
      <c r="L95">
        <f t="shared" si="101"/>
        <v>5675.1578947368416</v>
      </c>
      <c r="N95">
        <f t="shared" si="102"/>
        <v>1621.4736842105262</v>
      </c>
      <c r="P95">
        <f t="shared" si="103"/>
        <v>1621.4736842105262</v>
      </c>
      <c r="S95">
        <f t="shared" si="104"/>
        <v>2432.2105263157891</v>
      </c>
      <c r="U95">
        <f t="shared" si="70"/>
        <v>15404</v>
      </c>
      <c r="W95">
        <v>2022</v>
      </c>
      <c r="X95">
        <f t="shared" si="71"/>
        <v>43362.52002877905</v>
      </c>
      <c r="Y95">
        <f t="shared" si="72"/>
        <v>29197.196548970474</v>
      </c>
      <c r="Z95">
        <f t="shared" si="73"/>
        <v>31138.513969513246</v>
      </c>
      <c r="AA95">
        <f t="shared" si="74"/>
        <v>36.261111111111113</v>
      </c>
      <c r="AB95">
        <f t="shared" si="75"/>
        <v>14793.601330122694</v>
      </c>
      <c r="AC95">
        <f t="shared" si="76"/>
        <v>153.31944444444446</v>
      </c>
      <c r="AD95">
        <f t="shared" si="77"/>
        <v>7295.0888777806431</v>
      </c>
      <c r="AE95">
        <f t="shared" si="78"/>
        <v>2955.3143479614064</v>
      </c>
      <c r="AF95">
        <f t="shared" si="79"/>
        <v>3575.3898348813209</v>
      </c>
      <c r="AG95">
        <f t="shared" si="80"/>
        <v>10536.226158124067</v>
      </c>
      <c r="AH95">
        <f t="shared" si="81"/>
        <v>767.56834831154652</v>
      </c>
    </row>
    <row r="96" spans="1:35">
      <c r="A96">
        <v>2023</v>
      </c>
      <c r="B96">
        <v>4</v>
      </c>
      <c r="C96" s="1" t="s">
        <v>58</v>
      </c>
      <c r="D96" t="s">
        <v>12</v>
      </c>
      <c r="E96" t="s">
        <v>13</v>
      </c>
      <c r="G96">
        <v>2023</v>
      </c>
      <c r="U96">
        <f t="shared" si="70"/>
        <v>0</v>
      </c>
      <c r="W96">
        <v>2023</v>
      </c>
      <c r="X96">
        <f t="shared" si="71"/>
        <v>43362.52002877905</v>
      </c>
      <c r="Y96">
        <f t="shared" si="72"/>
        <v>29197.196548970474</v>
      </c>
      <c r="Z96">
        <f t="shared" si="73"/>
        <v>31138.513969513246</v>
      </c>
      <c r="AA96">
        <f t="shared" si="74"/>
        <v>36.261111111111113</v>
      </c>
      <c r="AB96">
        <f t="shared" si="75"/>
        <v>14793.601330122694</v>
      </c>
      <c r="AC96">
        <f t="shared" si="76"/>
        <v>153.31944444444446</v>
      </c>
      <c r="AD96">
        <f t="shared" si="77"/>
        <v>7295.0888777806431</v>
      </c>
      <c r="AE96">
        <f t="shared" si="78"/>
        <v>2955.3143479614064</v>
      </c>
      <c r="AF96">
        <f t="shared" si="79"/>
        <v>3575.3898348813209</v>
      </c>
      <c r="AG96">
        <f t="shared" si="80"/>
        <v>10536.226158124067</v>
      </c>
      <c r="AH96">
        <f t="shared" si="81"/>
        <v>767.56834831154652</v>
      </c>
      <c r="AI96">
        <f>SUM(X96:AH96)</f>
        <v>143811</v>
      </c>
    </row>
    <row r="97" spans="9:20">
      <c r="I97" s="22" t="s">
        <v>18</v>
      </c>
      <c r="J97" s="22" t="s">
        <v>18</v>
      </c>
      <c r="K97" s="22" t="s">
        <v>35</v>
      </c>
      <c r="L97" s="22" t="s">
        <v>12</v>
      </c>
      <c r="M97" s="22"/>
      <c r="N97" s="22"/>
      <c r="O97" s="22"/>
      <c r="P97" s="22"/>
      <c r="Q97" s="22"/>
      <c r="R97" s="22"/>
      <c r="S97" s="22"/>
      <c r="T97" s="22" t="s">
        <v>16</v>
      </c>
    </row>
  </sheetData>
  <hyperlinks>
    <hyperlink ref="C16" r:id="rId1" display="https://valtioneuvosto.fi/tietoa/historiaa/hallitukset-ja-ministerit/raportti/-/r/m1/51"/>
    <hyperlink ref="C17" r:id="rId2" display="https://valtioneuvosto.fi/tietoa/historiaa/hallitukset-ja-ministerit/raportti/-/r/m1/51"/>
    <hyperlink ref="C18" r:id="rId3" display="https://valtioneuvosto.fi/tietoa/historiaa/hallitukset-ja-ministerit/raportti/-/r/m1/51"/>
    <hyperlink ref="C19" r:id="rId4" display="https://valtioneuvosto.fi/tietoa/historiaa/hallitukset-ja-ministerit/raportti/-/r/m1/52"/>
    <hyperlink ref="C20" r:id="rId5" display="https://valtioneuvosto.fi/tietoa/historiaa/hallitukset-ja-ministerit/raportti/-/r/m1/53"/>
    <hyperlink ref="C21" r:id="rId6" display="https://valtioneuvosto.fi/tietoa/historiaa/hallitukset-ja-ministerit/raportti/-/r/m1/53"/>
    <hyperlink ref="C22" r:id="rId7" display="https://valtioneuvosto.fi/tietoa/historiaa/hallitukset-ja-ministerit/raportti/-/r/m1/54"/>
    <hyperlink ref="C14" r:id="rId8" display="https://valtioneuvosto.fi/tietoa/historiaa/hallitukset-ja-ministerit/raportti/-/r/m1/50"/>
    <hyperlink ref="C13" r:id="rId9" display="https://valtioneuvosto.fi/tietoa/historiaa/hallitukset-ja-ministerit/raportti/-/r/m1/50"/>
    <hyperlink ref="C2" r:id="rId10" display="https://valtioneuvosto.fi/tietoa/historiaa/hallitukset-ja-ministerit/raportti/-/r/m1/45"/>
    <hyperlink ref="C3" r:id="rId11" display="https://valtioneuvosto.fi/tietoa/historiaa/hallitukset-ja-ministerit/raportti/-/r/m1/45"/>
    <hyperlink ref="C4" r:id="rId12" display="https://valtioneuvosto.fi/tietoa/historiaa/hallitukset-ja-ministerit/raportti/-/r/m1/45"/>
    <hyperlink ref="C5" r:id="rId13" display="https://valtioneuvosto.fi/tietoa/historiaa/hallitukset-ja-ministerit/raportti/-/r/m1/46"/>
    <hyperlink ref="C6" r:id="rId14" display="https://valtioneuvosto.fi/tietoa/historiaa/hallitukset-ja-ministerit/raportti/-/r/m1/46"/>
    <hyperlink ref="C7" r:id="rId15" display="https://valtioneuvosto.fi/tietoa/historiaa/hallitukset-ja-ministerit/raportti/-/r/m1/47"/>
    <hyperlink ref="C8" r:id="rId16" display="https://valtioneuvosto.fi/tietoa/historiaa/hallitukset-ja-ministerit/raportti/-/r/m1/47"/>
    <hyperlink ref="C9" r:id="rId17" display="https://valtioneuvosto.fi/tietoa/historiaa/hallitukset-ja-ministerit/raportti/-/r/m1/48"/>
    <hyperlink ref="C10" r:id="rId18" display="https://valtioneuvosto.fi/tietoa/historiaa/hallitukset-ja-ministerit/raportti/-/r/m1/49"/>
    <hyperlink ref="C11" r:id="rId19" display="https://valtioneuvosto.fi/tietoa/historiaa/hallitukset-ja-ministerit/raportti/-/r/m1/49"/>
    <hyperlink ref="C12" r:id="rId20" display="https://valtioneuvosto.fi/tietoa/historiaa/hallitukset-ja-ministerit/raportti/-/r/m1/49"/>
    <hyperlink ref="C15" r:id="rId21" display="https://valtioneuvosto.fi/tietoa/historiaa/hallitukset-ja-ministerit/raportti/-/r/m1/50"/>
    <hyperlink ref="C23" r:id="rId22" display="https://valtioneuvosto.fi/tietoa/historiaa/hallitukset-ja-ministerit/raportti/-/r/m1/54"/>
    <hyperlink ref="C24" r:id="rId23" display="https://valtioneuvosto.fi/tietoa/historiaa/hallitukset-ja-ministerit/raportti/-/r/m1/55"/>
    <hyperlink ref="C25" r:id="rId24" display="https://valtioneuvosto.fi/tietoa/historiaa/hallitukset-ja-ministerit/raportti/-/r/m1/56"/>
    <hyperlink ref="C26" r:id="rId25" display="https://valtioneuvosto.fi/tietoa/historiaa/hallitukset-ja-ministerit/raportti/-/r/m1/56"/>
    <hyperlink ref="C27" r:id="rId26" display="https://valtioneuvosto.fi/tietoa/historiaa/hallitukset-ja-ministerit/raportti/-/r/m1/56"/>
    <hyperlink ref="C28" r:id="rId27" display="https://valtioneuvosto.fi/tietoa/historiaa/hallitukset-ja-ministerit/raportti/-/r/m1/56"/>
    <hyperlink ref="C29" r:id="rId28" display="https://valtioneuvosto.fi/tietoa/historiaa/hallitukset-ja-ministerit/raportti/-/r/m1/57"/>
    <hyperlink ref="C30" r:id="rId29" display="https://valtioneuvosto.fi/tietoa/historiaa/hallitukset-ja-ministerit/raportti/-/r/m1/58"/>
    <hyperlink ref="C31" r:id="rId30" display="https://valtioneuvosto.fi/tietoa/historiaa/hallitukset-ja-ministerit/raportti/-/r/m1/58"/>
    <hyperlink ref="C32" r:id="rId31" display="https://valtioneuvosto.fi/tietoa/historiaa/hallitukset-ja-ministerit/raportti/-/r/m1/59"/>
    <hyperlink ref="C33" r:id="rId32" display="https://valtioneuvosto.fi/tietoa/historiaa/hallitukset-ja-ministerit/raportti/-/r/m1/59"/>
    <hyperlink ref="C34" r:id="rId33" display="https://valtioneuvosto.fi/tietoa/historiaa/hallitukset-ja-ministerit/raportti/-/r/m1/60"/>
    <hyperlink ref="C35" r:id="rId34" display="https://valtioneuvosto.fi/tietoa/historiaa/hallitukset-ja-ministerit/raportti/-/r/m1/60"/>
    <hyperlink ref="C36" r:id="rId35" display="https://valtioneuvosto.fi/tietoa/historiaa/hallitukset-ja-ministerit/raportti/-/r/m1/60"/>
    <hyperlink ref="C37" r:id="rId36" display="https://valtioneuvosto.fi/tietoa/historiaa/hallitukset-ja-ministerit/raportti/-/r/m1/61"/>
    <hyperlink ref="C38" r:id="rId37" display="https://valtioneuvosto.fi/tietoa/historiaa/hallitukset-ja-ministerit/raportti/-/r/m1/61"/>
    <hyperlink ref="C39" r:id="rId38" display="https://valtioneuvosto.fi/tietoa/historiaa/hallitukset-ja-ministerit/raportti/-/r/m1/61"/>
    <hyperlink ref="C40" r:id="rId39" display="https://valtioneuvosto.fi/tietoa/historiaa/hallitukset-ja-ministerit/raportti/-/r/m1/61"/>
    <hyperlink ref="C41" r:id="rId40" display="https://valtioneuvosto.fi/tietoa/historiaa/hallitukset-ja-ministerit/raportti/-/r/m1/62"/>
    <hyperlink ref="C42" r:id="rId41" display="https://valtioneuvosto.fi/tietoa/historiaa/hallitukset-ja-ministerit/raportti/-/r/m1/62"/>
    <hyperlink ref="C43" r:id="rId42" display="https://valtioneuvosto.fi/tietoa/historiaa/hallitukset-ja-ministerit/raportti/-/r/m1/63"/>
    <hyperlink ref="C44" r:id="rId43" display="https://valtioneuvosto.fi/tietoa/historiaa/hallitukset-ja-ministerit/raportti/-/r/m1/63"/>
    <hyperlink ref="C45" r:id="rId44" display="https://valtioneuvosto.fi/tietoa/historiaa/hallitukset-ja-ministerit/raportti/-/r/m1/63"/>
    <hyperlink ref="C46" r:id="rId45" display="https://valtioneuvosto.fi/tietoa/historiaa/hallitukset-ja-ministerit/raportti/-/r/m1/63"/>
    <hyperlink ref="C47" r:id="rId46" display="https://valtioneuvosto.fi/tietoa/historiaa/hallitukset-ja-ministerit/raportti/-/r/m1/63"/>
    <hyperlink ref="C48" r:id="rId47" display="https://valtioneuvosto.fi/tietoa/historiaa/hallitukset-ja-ministerit/raportti/-/r/m1/64"/>
    <hyperlink ref="C49" r:id="rId48" display="https://valtioneuvosto.fi/tietoa/historiaa/hallitukset-ja-ministerit/raportti/-/r/m1/64"/>
    <hyperlink ref="C50" r:id="rId49" display="https://valtioneuvosto.fi/tietoa/historiaa/hallitukset-ja-ministerit/raportti/-/r/m1/64"/>
    <hyperlink ref="C51" r:id="rId50" display="https://valtioneuvosto.fi/tietoa/historiaa/hallitukset-ja-ministerit/raportti/-/r/m1/64"/>
    <hyperlink ref="C52" r:id="rId51" display="https://valtioneuvosto.fi/tietoa/historiaa/hallitukset-ja-ministerit/raportti/-/r/m1/64"/>
    <hyperlink ref="C53" r:id="rId52" display="https://valtioneuvosto.fi/tietoa/historiaa/hallitukset-ja-ministerit/raportti/-/r/m1/65"/>
    <hyperlink ref="C54" r:id="rId53" display="https://valtioneuvosto.fi/tietoa/historiaa/hallitukset-ja-ministerit/raportti/-/r/m1/65"/>
    <hyperlink ref="C55" r:id="rId54" display="https://valtioneuvosto.fi/tietoa/historiaa/hallitukset-ja-ministerit/raportti/-/r/m1/65"/>
    <hyperlink ref="C56" r:id="rId55" display="https://valtioneuvosto.fi/tietoa/historiaa/hallitukset-ja-ministerit/raportti/-/r/m1/65"/>
    <hyperlink ref="C57" r:id="rId56" display="https://valtioneuvosto.fi/tietoa/historiaa/hallitukset-ja-ministerit/raportti/-/r/m1/65"/>
    <hyperlink ref="C58" r:id="rId57" display="https://valtioneuvosto.fi/tietoa/historiaa/hallitukset-ja-ministerit/raportti/-/r/m1/66"/>
    <hyperlink ref="C59" r:id="rId58" display="https://valtioneuvosto.fi/tietoa/historiaa/hallitukset-ja-ministerit/raportti/-/r/m1/66"/>
    <hyperlink ref="C60" r:id="rId59" display="https://valtioneuvosto.fi/tietoa/historiaa/hallitukset-ja-ministerit/raportti/-/r/m1/66"/>
    <hyperlink ref="C61" r:id="rId60" display="https://valtioneuvosto.fi/tietoa/historiaa/hallitukset-ja-ministerit/raportti/-/r/m1/66"/>
    <hyperlink ref="C62" r:id="rId61" display="https://valtioneuvosto.fi/tietoa/historiaa/hallitukset-ja-ministerit/raportti/-/r/m1/66"/>
    <hyperlink ref="C63" r:id="rId62" display="https://valtioneuvosto.fi/tietoa/historiaa/hallitukset-ja-ministerit/raportti/-/r/m1/67"/>
    <hyperlink ref="C64" r:id="rId63" display="https://valtioneuvosto.fi/tietoa/historiaa/hallitukset-ja-ministerit/raportti/-/r/m1/67"/>
    <hyperlink ref="C65" r:id="rId64" display="https://valtioneuvosto.fi/tietoa/historiaa/hallitukset-ja-ministerit/raportti/-/r/m1/67"/>
    <hyperlink ref="C66" r:id="rId65" display="https://valtioneuvosto.fi/tietoa/historiaa/hallitukset-ja-ministerit/raportti/-/r/m1/67"/>
    <hyperlink ref="C67" r:id="rId66" display="https://valtioneuvosto.fi/tietoa/historiaa/hallitukset-ja-ministerit/raportti/-/r/m1/67"/>
    <hyperlink ref="C68" r:id="rId67" display="https://valtioneuvosto.fi/tietoa/historiaa/hallitukset-ja-ministerit/raportti/-/r/m1/68"/>
    <hyperlink ref="C70" r:id="rId68" display="https://valtioneuvosto.fi/tietoa/historiaa/hallitukset-ja-ministerit/raportti/-/r/m1/69"/>
    <hyperlink ref="C71" r:id="rId69" display="https://valtioneuvosto.fi/tietoa/historiaa/hallitukset-ja-ministerit/raportti/-/r/m1/69"/>
    <hyperlink ref="C72" r:id="rId70" display="https://valtioneuvosto.fi/tietoa/historiaa/hallitukset-ja-ministerit/raportti/-/r/m1/69"/>
    <hyperlink ref="C73" r:id="rId71" display="https://valtioneuvosto.fi/tietoa/historiaa/hallitukset-ja-ministerit/raportti/-/r/m1/69"/>
    <hyperlink ref="C74" r:id="rId72" display="https://valtioneuvosto.fi/tietoa/historiaa/hallitukset-ja-ministerit/raportti/-/r/m1/70"/>
    <hyperlink ref="C75" r:id="rId73" display="https://valtioneuvosto.fi/tietoa/historiaa/hallitukset-ja-ministerit/raportti/-/r/m1/70"/>
    <hyperlink ref="C76" r:id="rId74" display="https://valtioneuvosto.fi/tietoa/historiaa/hallitukset-ja-ministerit/raportti/-/r/m1/70"/>
    <hyperlink ref="C77" r:id="rId75" display="https://valtioneuvosto.fi/tietoa/historiaa/hallitukset-ja-ministerit/raportti/-/r/m1/70"/>
    <hyperlink ref="C78" r:id="rId76" display="https://valtioneuvosto.fi/tietoa/historiaa/hallitukset-ja-ministerit/raportti/-/r/m1/71"/>
    <hyperlink ref="C79" r:id="rId77" display="https://valtioneuvosto.fi/tietoa/historiaa/hallitukset-ja-ministerit/raportti/-/r/m1/71"/>
    <hyperlink ref="C80" r:id="rId78" display="https://valtioneuvosto.fi/tietoa/historiaa/hallitukset-ja-ministerit/raportti/-/r/m1/72"/>
    <hyperlink ref="C81" r:id="rId79" display="https://valtioneuvosto.fi/tietoa/historiaa/hallitukset-ja-ministerit/raportti/-/r/m1/72"/>
    <hyperlink ref="C82" r:id="rId80" display="https://valtioneuvosto.fi/tietoa/historiaa/hallitukset-ja-ministerit/raportti/-/r/m1/72"/>
    <hyperlink ref="C83" r:id="rId81" display="https://valtioneuvosto.fi/tietoa/historiaa/hallitukset-ja-ministerit/raportti/-/r/m1/72"/>
    <hyperlink ref="C84" r:id="rId82" display="https://valtioneuvosto.fi/tietoa/historiaa/hallitukset-ja-ministerit/raportti/-/r/m1/73"/>
    <hyperlink ref="C85" r:id="rId83" display="https://valtioneuvosto.fi/tietoa/historiaa/hallitukset-ja-ministerit/raportti/-/r/m1/73"/>
    <hyperlink ref="C86" r:id="rId84" display="https://valtioneuvosto.fi/tietoa/historiaa/hallitukset-ja-ministerit/raportti/-/r/m1/74"/>
    <hyperlink ref="C87" r:id="rId85" display="https://valtioneuvosto.fi/tietoa/historiaa/hallitukset-ja-ministerit/raportti/-/r/m1/74"/>
    <hyperlink ref="C88" r:id="rId86" display="https://valtioneuvosto.fi/tietoa/historiaa/hallitukset-ja-ministerit/raportti/-/r/m1/74"/>
    <hyperlink ref="C89" r:id="rId87" display="https://valtioneuvosto.fi/tietoa/historiaa/hallitukset-ja-ministerit/raportti/-/r/m1/74"/>
    <hyperlink ref="C90" r:id="rId88" display="https://valtioneuvosto.fi/tietoa/historiaa/hallitukset-ja-ministerit/raportti/-/r/m1/74"/>
    <hyperlink ref="C91" r:id="rId89" display="https://valtioneuvosto.fi/tietoa/historiaa/hallitukset-ja-ministerit/raportti/-/r/m1/75"/>
    <hyperlink ref="C92" r:id="rId90" display="https://valtioneuvosto.fi/tietoa/historiaa/hallitukset-ja-ministerit/raportti/-/r/m1/76"/>
    <hyperlink ref="C93" r:id="rId91" display="https://valtioneuvosto.fi/tietoa/historiaa/hallitukset-ja-ministerit/raportti/-/r/m1/76"/>
    <hyperlink ref="C94" r:id="rId92" display="https://valtioneuvosto.fi/tietoa/historiaa/hallitukset-ja-ministerit/raportti/-/r/m1/76"/>
    <hyperlink ref="C95" r:id="rId93" display="https://valtioneuvosto.fi/tietoa/historiaa/hallitukset-ja-ministerit/raportti/-/r/m1/76"/>
    <hyperlink ref="C96" r:id="rId94" display="https://valtioneuvosto.fi/tietoa/historiaa/hallitukset-ja-ministerit/raportti/-/r/m1/76"/>
    <hyperlink ref="C69" r:id="rId95" display="https://valtioneuvosto.fi/tietoa/historiaa/hallitukset-ja-ministerit/raportti/-/r/m1/69"/>
  </hyperlinks>
  <pageMargins left="0.7" right="0.7" top="0.75" bottom="0.75" header="0.3" footer="0.3"/>
  <pageSetup paperSize="9" orientation="portrait" r:id="rId96"/>
  <drawing r:id="rId97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7"/>
  <sheetViews>
    <sheetView topLeftCell="A52" workbookViewId="0">
      <selection activeCell="E65" sqref="E65:E66"/>
    </sheetView>
  </sheetViews>
  <sheetFormatPr defaultRowHeight="14.5"/>
  <cols>
    <col min="2" max="2" width="15.6328125" bestFit="1" customWidth="1"/>
  </cols>
  <sheetData>
    <row r="1" spans="1:5" ht="15" thickBot="1">
      <c r="B1" s="23" t="s">
        <v>76</v>
      </c>
    </row>
    <row r="2" spans="1:5" ht="15" thickBot="1">
      <c r="A2" s="2">
        <v>1958</v>
      </c>
      <c r="B2" s="3">
        <v>289</v>
      </c>
      <c r="C2" s="4">
        <v>0.13100000000000001</v>
      </c>
    </row>
    <row r="3" spans="1:5" ht="15" thickBot="1">
      <c r="A3" s="2">
        <v>1959</v>
      </c>
      <c r="B3" s="3">
        <v>294</v>
      </c>
      <c r="C3" s="4">
        <v>0.123</v>
      </c>
      <c r="E3">
        <f>B3-B2</f>
        <v>5</v>
      </c>
    </row>
    <row r="4" spans="1:5" ht="15" thickBot="1">
      <c r="A4" s="2">
        <v>1960</v>
      </c>
      <c r="B4" s="3">
        <v>271</v>
      </c>
      <c r="C4" s="4">
        <v>0.10100000000000001</v>
      </c>
      <c r="E4">
        <f t="shared" ref="E4:E66" si="0">B4-B3</f>
        <v>-23</v>
      </c>
    </row>
    <row r="5" spans="1:5" ht="15" thickBot="1">
      <c r="A5" s="2">
        <v>1961</v>
      </c>
      <c r="B5" s="3">
        <v>282</v>
      </c>
      <c r="C5" s="4">
        <v>9.0999999999999998E-2</v>
      </c>
      <c r="E5">
        <f t="shared" si="0"/>
        <v>11</v>
      </c>
    </row>
    <row r="6" spans="1:5" ht="15" thickBot="1">
      <c r="A6" s="2">
        <v>1962</v>
      </c>
      <c r="B6" s="3">
        <v>342</v>
      </c>
      <c r="C6" s="4">
        <v>0.104</v>
      </c>
      <c r="E6">
        <f t="shared" si="0"/>
        <v>60</v>
      </c>
    </row>
    <row r="7" spans="1:5" ht="15" thickBot="1">
      <c r="A7" s="2">
        <v>1963</v>
      </c>
      <c r="B7" s="3">
        <v>439</v>
      </c>
      <c r="C7" s="4">
        <v>0.122</v>
      </c>
      <c r="E7">
        <f t="shared" si="0"/>
        <v>97</v>
      </c>
    </row>
    <row r="8" spans="1:5" ht="15" thickBot="1">
      <c r="A8" s="2">
        <v>1964</v>
      </c>
      <c r="B8" s="3">
        <v>505</v>
      </c>
      <c r="C8" s="4">
        <v>0.125</v>
      </c>
      <c r="E8">
        <f t="shared" si="0"/>
        <v>66</v>
      </c>
    </row>
    <row r="9" spans="1:5" ht="15" thickBot="1">
      <c r="A9" s="2">
        <v>1965</v>
      </c>
      <c r="B9" s="3">
        <v>580</v>
      </c>
      <c r="C9" s="4">
        <v>0.129</v>
      </c>
      <c r="E9">
        <f t="shared" si="0"/>
        <v>75</v>
      </c>
    </row>
    <row r="10" spans="1:5" ht="15" thickBot="1">
      <c r="A10" s="2">
        <v>1966</v>
      </c>
      <c r="B10" s="3">
        <v>661</v>
      </c>
      <c r="C10" s="4">
        <v>0.13800000000000001</v>
      </c>
      <c r="E10">
        <f t="shared" si="0"/>
        <v>81</v>
      </c>
    </row>
    <row r="11" spans="1:5" ht="15" thickBot="1">
      <c r="A11" s="2">
        <v>1967</v>
      </c>
      <c r="B11" s="3">
        <v>745</v>
      </c>
      <c r="C11" s="4">
        <v>0.14099999999999999</v>
      </c>
      <c r="E11">
        <f t="shared" si="0"/>
        <v>84</v>
      </c>
    </row>
    <row r="12" spans="1:5" ht="15" thickBot="1">
      <c r="A12" s="2">
        <v>1968</v>
      </c>
      <c r="B12" s="3">
        <v>840</v>
      </c>
      <c r="C12" s="4">
        <v>0.13900000000000001</v>
      </c>
      <c r="E12">
        <f t="shared" si="0"/>
        <v>95</v>
      </c>
    </row>
    <row r="13" spans="1:5" ht="15" thickBot="1">
      <c r="A13" s="2">
        <v>1969</v>
      </c>
      <c r="B13" s="3">
        <v>744</v>
      </c>
      <c r="C13" s="4">
        <v>0.108</v>
      </c>
      <c r="E13">
        <f t="shared" si="0"/>
        <v>-96</v>
      </c>
    </row>
    <row r="14" spans="1:5" ht="15" thickBot="1">
      <c r="A14" s="2">
        <v>1970</v>
      </c>
      <c r="B14" s="3">
        <v>707</v>
      </c>
      <c r="C14" s="4">
        <v>9.1999999999999998E-2</v>
      </c>
      <c r="E14">
        <f t="shared" si="0"/>
        <v>-37</v>
      </c>
    </row>
    <row r="15" spans="1:5" ht="15" thickBot="1">
      <c r="A15" s="2">
        <v>1971</v>
      </c>
      <c r="B15" s="3">
        <v>672</v>
      </c>
      <c r="C15" s="4">
        <v>7.9000000000000001E-2</v>
      </c>
      <c r="E15">
        <f t="shared" si="0"/>
        <v>-35</v>
      </c>
    </row>
    <row r="16" spans="1:5" ht="15" thickBot="1">
      <c r="A16" s="2">
        <v>1972</v>
      </c>
      <c r="B16" s="3">
        <v>637</v>
      </c>
      <c r="C16" s="4">
        <v>6.5000000000000002E-2</v>
      </c>
      <c r="E16">
        <f t="shared" si="0"/>
        <v>-35</v>
      </c>
    </row>
    <row r="17" spans="1:5" ht="15" thickBot="1">
      <c r="A17" s="2">
        <v>1973</v>
      </c>
      <c r="B17" s="3">
        <v>531</v>
      </c>
      <c r="C17" s="4">
        <v>4.3999999999999997E-2</v>
      </c>
      <c r="E17">
        <f t="shared" si="0"/>
        <v>-106</v>
      </c>
    </row>
    <row r="18" spans="1:5" ht="15" thickBot="1">
      <c r="A18" s="2">
        <v>1974</v>
      </c>
      <c r="B18" s="3">
        <v>451</v>
      </c>
      <c r="C18" s="4">
        <v>0.03</v>
      </c>
      <c r="E18">
        <f t="shared" si="0"/>
        <v>-80</v>
      </c>
    </row>
    <row r="19" spans="1:5" ht="15" thickBot="1">
      <c r="A19" s="2">
        <v>1975</v>
      </c>
      <c r="B19" s="3">
        <v>596</v>
      </c>
      <c r="C19" s="4">
        <v>3.3000000000000002E-2</v>
      </c>
      <c r="E19">
        <f t="shared" si="0"/>
        <v>145</v>
      </c>
    </row>
    <row r="20" spans="1:5" ht="15" thickBot="1">
      <c r="A20" s="2">
        <v>1976</v>
      </c>
      <c r="B20" s="3">
        <v>778</v>
      </c>
      <c r="C20" s="4">
        <v>3.7999999999999999E-2</v>
      </c>
      <c r="E20">
        <f t="shared" si="0"/>
        <v>182</v>
      </c>
    </row>
    <row r="21" spans="1:5" ht="15" thickBot="1">
      <c r="A21" s="2">
        <v>1977</v>
      </c>
      <c r="B21" s="5">
        <v>1136</v>
      </c>
      <c r="C21" s="4">
        <v>0.05</v>
      </c>
      <c r="E21">
        <f t="shared" si="0"/>
        <v>358</v>
      </c>
    </row>
    <row r="22" spans="1:5" ht="15" thickBot="1">
      <c r="A22" s="2">
        <v>1978</v>
      </c>
      <c r="B22" s="5">
        <v>2051</v>
      </c>
      <c r="C22" s="4">
        <v>8.2000000000000003E-2</v>
      </c>
      <c r="E22">
        <f t="shared" si="0"/>
        <v>915</v>
      </c>
    </row>
    <row r="23" spans="1:5" ht="15" thickBot="1">
      <c r="A23" s="2">
        <v>1979</v>
      </c>
      <c r="B23" s="5">
        <v>2555</v>
      </c>
      <c r="C23" s="4">
        <v>8.7999999999999995E-2</v>
      </c>
      <c r="E23">
        <f t="shared" si="0"/>
        <v>504</v>
      </c>
    </row>
    <row r="24" spans="1:5" ht="15" thickBot="1">
      <c r="A24" s="2">
        <v>1980</v>
      </c>
      <c r="B24" s="5">
        <v>3022</v>
      </c>
      <c r="C24" s="4">
        <v>0.09</v>
      </c>
      <c r="E24">
        <f t="shared" si="0"/>
        <v>467</v>
      </c>
    </row>
    <row r="25" spans="1:5" ht="15" thickBot="1">
      <c r="A25" s="2">
        <v>1981</v>
      </c>
      <c r="B25" s="5">
        <v>3717</v>
      </c>
      <c r="C25" s="4">
        <v>9.8000000000000004E-2</v>
      </c>
      <c r="E25">
        <f t="shared" si="0"/>
        <v>695</v>
      </c>
    </row>
    <row r="26" spans="1:5" ht="15" thickBot="1">
      <c r="A26" s="2">
        <v>1982</v>
      </c>
      <c r="B26" s="5">
        <v>5087</v>
      </c>
      <c r="C26" s="4">
        <v>0.11899999999999999</v>
      </c>
      <c r="E26">
        <f t="shared" si="0"/>
        <v>1370</v>
      </c>
    </row>
    <row r="27" spans="1:5" ht="15" thickBot="1">
      <c r="A27" s="2">
        <v>1983</v>
      </c>
      <c r="B27" s="5">
        <v>6412</v>
      </c>
      <c r="C27" s="4">
        <v>0.13400000000000001</v>
      </c>
      <c r="E27">
        <f t="shared" si="0"/>
        <v>1325</v>
      </c>
    </row>
    <row r="28" spans="1:5" ht="15" thickBot="1">
      <c r="A28" s="2">
        <v>1984</v>
      </c>
      <c r="B28" s="5">
        <v>7445</v>
      </c>
      <c r="C28" s="4">
        <v>0.13900000000000001</v>
      </c>
      <c r="E28">
        <f t="shared" si="0"/>
        <v>1033</v>
      </c>
    </row>
    <row r="29" spans="1:5" ht="15" thickBot="1">
      <c r="A29" s="2">
        <v>1985</v>
      </c>
      <c r="B29" s="5">
        <v>7902</v>
      </c>
      <c r="C29" s="4">
        <v>0.13600000000000001</v>
      </c>
      <c r="E29">
        <f t="shared" si="0"/>
        <v>457</v>
      </c>
    </row>
    <row r="30" spans="1:5" ht="15" thickBot="1">
      <c r="A30" s="2">
        <v>1986</v>
      </c>
      <c r="B30" s="5">
        <v>8745</v>
      </c>
      <c r="C30" s="4">
        <v>0.13900000000000001</v>
      </c>
      <c r="E30">
        <f t="shared" si="0"/>
        <v>843</v>
      </c>
    </row>
    <row r="31" spans="1:5" ht="15" thickBot="1">
      <c r="A31" s="2">
        <v>1987</v>
      </c>
      <c r="B31" s="5">
        <v>9841</v>
      </c>
      <c r="C31" s="4">
        <v>0.14499999999999999</v>
      </c>
      <c r="E31">
        <f t="shared" si="0"/>
        <v>1096</v>
      </c>
    </row>
    <row r="32" spans="1:5" ht="15" thickBot="1">
      <c r="A32" s="2">
        <v>1988</v>
      </c>
      <c r="B32" s="5">
        <v>9769</v>
      </c>
      <c r="C32" s="4">
        <v>0.127</v>
      </c>
      <c r="E32">
        <f t="shared" si="0"/>
        <v>-72</v>
      </c>
    </row>
    <row r="33" spans="1:5" ht="15" thickBot="1">
      <c r="A33" s="2">
        <v>1989</v>
      </c>
      <c r="B33" s="5">
        <v>8899</v>
      </c>
      <c r="C33" s="4">
        <v>0.104</v>
      </c>
      <c r="E33">
        <f t="shared" si="0"/>
        <v>-870</v>
      </c>
    </row>
    <row r="34" spans="1:5" ht="15" thickBot="1">
      <c r="A34" s="2">
        <v>1990</v>
      </c>
      <c r="B34" s="5">
        <v>9593</v>
      </c>
      <c r="C34" s="4">
        <v>0.105</v>
      </c>
      <c r="E34">
        <f t="shared" si="0"/>
        <v>694</v>
      </c>
    </row>
    <row r="35" spans="1:5" ht="15" thickBot="1">
      <c r="A35" s="2">
        <v>1991</v>
      </c>
      <c r="B35" s="5">
        <v>14204</v>
      </c>
      <c r="C35" s="4">
        <v>0.16300000000000001</v>
      </c>
      <c r="E35">
        <f t="shared" si="0"/>
        <v>4611</v>
      </c>
    </row>
    <row r="36" spans="1:5" ht="15" thickBot="1">
      <c r="A36" s="2">
        <v>1992</v>
      </c>
      <c r="B36" s="5">
        <v>27849</v>
      </c>
      <c r="C36" s="4">
        <v>0.32800000000000001</v>
      </c>
      <c r="E36">
        <f t="shared" si="0"/>
        <v>13645</v>
      </c>
    </row>
    <row r="37" spans="1:5" ht="15" thickBot="1">
      <c r="A37" s="2">
        <v>1993</v>
      </c>
      <c r="B37" s="5">
        <v>43030</v>
      </c>
      <c r="C37" s="4">
        <v>0.502</v>
      </c>
      <c r="E37">
        <f t="shared" si="0"/>
        <v>15181</v>
      </c>
    </row>
    <row r="38" spans="1:5" ht="15" thickBot="1">
      <c r="A38" s="2">
        <v>1994</v>
      </c>
      <c r="B38" s="5">
        <v>51722</v>
      </c>
      <c r="C38" s="4">
        <v>0.56999999999999995</v>
      </c>
      <c r="E38">
        <f t="shared" si="0"/>
        <v>8692</v>
      </c>
    </row>
    <row r="39" spans="1:5" ht="15" thickBot="1">
      <c r="A39" s="2">
        <v>1995</v>
      </c>
      <c r="B39" s="5">
        <v>60121</v>
      </c>
      <c r="C39" s="4">
        <v>0.61</v>
      </c>
      <c r="E39">
        <f t="shared" si="0"/>
        <v>8399</v>
      </c>
    </row>
    <row r="40" spans="1:5" ht="15" thickBot="1">
      <c r="A40" s="2">
        <v>1996</v>
      </c>
      <c r="B40" s="5">
        <v>66121</v>
      </c>
      <c r="C40" s="4">
        <v>0.64800000000000002</v>
      </c>
      <c r="E40">
        <f t="shared" si="0"/>
        <v>6000</v>
      </c>
    </row>
    <row r="41" spans="1:5" ht="15" thickBot="1">
      <c r="A41" s="2">
        <v>1997</v>
      </c>
      <c r="B41" s="5">
        <v>69770</v>
      </c>
      <c r="C41" s="4">
        <v>0.63</v>
      </c>
      <c r="E41">
        <f t="shared" si="0"/>
        <v>3649</v>
      </c>
    </row>
    <row r="42" spans="1:5" ht="15" thickBot="1">
      <c r="A42" s="2">
        <v>1998</v>
      </c>
      <c r="B42" s="5">
        <v>69796</v>
      </c>
      <c r="C42" s="4">
        <v>0.57999999999999996</v>
      </c>
      <c r="E42">
        <f t="shared" si="0"/>
        <v>26</v>
      </c>
    </row>
    <row r="43" spans="1:5" ht="15" thickBot="1">
      <c r="A43" s="2">
        <v>1999</v>
      </c>
      <c r="B43" s="5">
        <v>68052</v>
      </c>
      <c r="C43" s="4">
        <v>0.53600000000000003</v>
      </c>
      <c r="E43">
        <f t="shared" si="0"/>
        <v>-1744</v>
      </c>
    </row>
    <row r="44" spans="1:5" ht="15" thickBot="1">
      <c r="A44" s="2">
        <v>2000</v>
      </c>
      <c r="B44" s="5">
        <v>63435</v>
      </c>
      <c r="C44" s="4">
        <v>0.46600000000000003</v>
      </c>
      <c r="E44">
        <f t="shared" si="0"/>
        <v>-4617</v>
      </c>
    </row>
    <row r="45" spans="1:5" ht="15" thickBot="1">
      <c r="A45" s="2">
        <v>2001</v>
      </c>
      <c r="B45" s="5">
        <v>61760</v>
      </c>
      <c r="C45" s="4">
        <v>0.42799999999999999</v>
      </c>
      <c r="E45">
        <f t="shared" si="0"/>
        <v>-1675</v>
      </c>
    </row>
    <row r="46" spans="1:5" ht="15" thickBot="1">
      <c r="A46" s="2">
        <v>2002</v>
      </c>
      <c r="B46" s="5">
        <v>59253</v>
      </c>
      <c r="C46" s="4">
        <v>0.4</v>
      </c>
      <c r="E46">
        <f t="shared" si="0"/>
        <v>-2507</v>
      </c>
    </row>
    <row r="47" spans="1:5" ht="15" thickBot="1">
      <c r="A47" s="2">
        <v>2003</v>
      </c>
      <c r="B47" s="5">
        <v>63320</v>
      </c>
      <c r="C47" s="4">
        <v>0.41699999999999998</v>
      </c>
      <c r="E47">
        <f t="shared" si="0"/>
        <v>4067</v>
      </c>
    </row>
    <row r="48" spans="1:5" ht="15" thickBot="1">
      <c r="A48" s="2">
        <v>2004</v>
      </c>
      <c r="B48" s="5">
        <v>63788</v>
      </c>
      <c r="C48" s="4">
        <v>0.40200000000000002</v>
      </c>
      <c r="E48">
        <f t="shared" si="0"/>
        <v>468</v>
      </c>
    </row>
    <row r="49" spans="1:5" ht="15" thickBot="1">
      <c r="A49" s="2">
        <v>2005</v>
      </c>
      <c r="B49" s="5">
        <v>60044</v>
      </c>
      <c r="C49" s="4">
        <v>0.36499999999999999</v>
      </c>
      <c r="E49">
        <f t="shared" si="0"/>
        <v>-3744</v>
      </c>
    </row>
    <row r="50" spans="1:5" ht="15" thickBot="1">
      <c r="A50" s="2">
        <v>2006</v>
      </c>
      <c r="B50" s="5">
        <v>58904</v>
      </c>
      <c r="C50" s="4">
        <v>0.34100000000000003</v>
      </c>
      <c r="E50">
        <f t="shared" si="0"/>
        <v>-1140</v>
      </c>
    </row>
    <row r="51" spans="1:5" ht="15" thickBot="1">
      <c r="A51" s="2">
        <v>2007</v>
      </c>
      <c r="B51" s="5">
        <v>56068</v>
      </c>
      <c r="C51" s="4">
        <v>0.3</v>
      </c>
      <c r="E51">
        <f t="shared" si="0"/>
        <v>-2836</v>
      </c>
    </row>
    <row r="52" spans="1:5" ht="15" thickBot="1">
      <c r="A52" s="2">
        <v>2008</v>
      </c>
      <c r="B52" s="5">
        <v>54382</v>
      </c>
      <c r="C52" s="4">
        <v>0.28000000000000003</v>
      </c>
      <c r="E52">
        <f t="shared" si="0"/>
        <v>-1686</v>
      </c>
    </row>
    <row r="53" spans="1:5" ht="15" thickBot="1">
      <c r="A53" s="2">
        <v>2009</v>
      </c>
      <c r="B53" s="5">
        <v>64281</v>
      </c>
      <c r="C53" s="4">
        <v>0.35399999999999998</v>
      </c>
      <c r="E53">
        <f t="shared" si="0"/>
        <v>9899</v>
      </c>
    </row>
    <row r="54" spans="1:5" ht="15" thickBot="1">
      <c r="A54" s="2">
        <v>2010</v>
      </c>
      <c r="B54" s="5">
        <v>75152</v>
      </c>
      <c r="C54" s="4">
        <v>0.39900000000000002</v>
      </c>
      <c r="E54">
        <f t="shared" si="0"/>
        <v>10871</v>
      </c>
    </row>
    <row r="55" spans="1:5" ht="15" thickBot="1">
      <c r="A55" s="2">
        <v>2011</v>
      </c>
      <c r="B55" s="5">
        <v>79661</v>
      </c>
      <c r="C55" s="4">
        <v>0.40200000000000002</v>
      </c>
      <c r="E55">
        <f t="shared" si="0"/>
        <v>4509</v>
      </c>
    </row>
    <row r="56" spans="1:5" ht="15" thickBot="1">
      <c r="A56" s="2">
        <v>2012</v>
      </c>
      <c r="B56" s="5">
        <v>83910</v>
      </c>
      <c r="C56" s="4">
        <v>0.41699999999999998</v>
      </c>
      <c r="E56">
        <f t="shared" si="0"/>
        <v>4249</v>
      </c>
    </row>
    <row r="57" spans="1:5" ht="15" thickBot="1">
      <c r="A57" s="2">
        <v>2013</v>
      </c>
      <c r="B57" s="5">
        <v>89738</v>
      </c>
      <c r="C57" s="4">
        <v>0.439</v>
      </c>
      <c r="E57">
        <f t="shared" si="0"/>
        <v>5828</v>
      </c>
    </row>
    <row r="58" spans="1:5" ht="15" thickBot="1">
      <c r="A58" s="2">
        <v>2014</v>
      </c>
      <c r="B58" s="5">
        <v>95129</v>
      </c>
      <c r="C58" s="4">
        <v>0.46</v>
      </c>
      <c r="E58">
        <f t="shared" si="0"/>
        <v>5391</v>
      </c>
    </row>
    <row r="59" spans="1:5" ht="15" thickBot="1">
      <c r="A59" s="2">
        <v>2015</v>
      </c>
      <c r="B59" s="5">
        <v>99807</v>
      </c>
      <c r="C59" s="4">
        <v>0.47199999999999998</v>
      </c>
      <c r="E59">
        <f t="shared" si="0"/>
        <v>4678</v>
      </c>
    </row>
    <row r="60" spans="1:5" ht="15" thickBot="1">
      <c r="A60" s="2">
        <v>2016</v>
      </c>
      <c r="B60" s="5">
        <v>102352</v>
      </c>
      <c r="C60" s="4">
        <v>0.47</v>
      </c>
      <c r="E60">
        <f t="shared" si="0"/>
        <v>2545</v>
      </c>
    </row>
    <row r="61" spans="1:5" ht="15" thickBot="1">
      <c r="A61" s="2">
        <v>2017</v>
      </c>
      <c r="B61" s="5">
        <v>105773</v>
      </c>
      <c r="C61" s="4">
        <v>0.46700000000000003</v>
      </c>
      <c r="E61">
        <f t="shared" si="0"/>
        <v>3421</v>
      </c>
    </row>
    <row r="62" spans="1:5" ht="15" thickBot="1">
      <c r="A62" s="2">
        <v>2018</v>
      </c>
      <c r="B62" s="5">
        <v>104973</v>
      </c>
      <c r="C62" s="4">
        <v>0.45</v>
      </c>
      <c r="E62">
        <f t="shared" si="0"/>
        <v>-800</v>
      </c>
    </row>
    <row r="63" spans="1:5" ht="15" thickBot="1">
      <c r="A63" s="2">
        <v>2019</v>
      </c>
      <c r="B63" s="5">
        <v>106368</v>
      </c>
      <c r="C63" s="4">
        <v>0.443</v>
      </c>
      <c r="E63">
        <f t="shared" si="0"/>
        <v>1395</v>
      </c>
    </row>
    <row r="64" spans="1:5" ht="15" thickBot="1">
      <c r="A64" s="2">
        <v>2020</v>
      </c>
      <c r="B64" s="5">
        <v>124833</v>
      </c>
      <c r="C64" s="4">
        <v>0.52500000000000002</v>
      </c>
      <c r="E64">
        <f t="shared" si="0"/>
        <v>18465</v>
      </c>
    </row>
    <row r="65" spans="1:5" ht="15" thickBot="1">
      <c r="A65" s="2">
        <v>2021</v>
      </c>
      <c r="B65" s="5">
        <v>128696</v>
      </c>
      <c r="C65" s="4">
        <v>0.50900000000000001</v>
      </c>
      <c r="E65">
        <f t="shared" si="0"/>
        <v>3863</v>
      </c>
    </row>
    <row r="66" spans="1:5">
      <c r="A66" s="24">
        <v>2022</v>
      </c>
      <c r="B66" s="25">
        <v>144100</v>
      </c>
      <c r="E66">
        <f t="shared" si="0"/>
        <v>15404</v>
      </c>
    </row>
    <row r="67" spans="1:5">
      <c r="A67" s="24">
        <v>2023</v>
      </c>
      <c r="B67" s="25">
        <v>144100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H8" sqref="H8"/>
    </sheetView>
  </sheetViews>
  <sheetFormatPr defaultRowHeight="14.5"/>
  <cols>
    <col min="1" max="1" width="17.1796875" style="12" customWidth="1"/>
    <col min="2" max="2" width="11.90625" style="19" customWidth="1"/>
    <col min="3" max="3" width="12.08984375" style="16" bestFit="1" customWidth="1"/>
    <col min="4" max="4" width="17.08984375" style="16" bestFit="1" customWidth="1"/>
    <col min="5" max="5" width="12.08984375" bestFit="1" customWidth="1"/>
  </cols>
  <sheetData>
    <row r="1" spans="1:5" ht="15" thickBot="1">
      <c r="A1" s="12" t="s">
        <v>0</v>
      </c>
      <c r="B1" s="19" t="s">
        <v>60</v>
      </c>
      <c r="C1" s="16" t="s">
        <v>61</v>
      </c>
      <c r="D1" s="16" t="s">
        <v>62</v>
      </c>
      <c r="E1" s="21" t="s">
        <v>63</v>
      </c>
    </row>
    <row r="2" spans="1:5" ht="25" thickTop="1" thickBot="1">
      <c r="A2" s="9" t="s">
        <v>10</v>
      </c>
      <c r="B2" s="17" t="s">
        <v>11</v>
      </c>
      <c r="C2" s="13">
        <v>784</v>
      </c>
      <c r="D2" s="13" t="s">
        <v>12</v>
      </c>
      <c r="E2" s="6" t="s">
        <v>13</v>
      </c>
    </row>
    <row r="3" spans="1:5" ht="24.5" thickBot="1">
      <c r="A3" s="10" t="s">
        <v>1</v>
      </c>
      <c r="B3" s="18" t="s">
        <v>14</v>
      </c>
      <c r="C3" s="14">
        <v>63</v>
      </c>
      <c r="D3" s="14" t="s">
        <v>15</v>
      </c>
      <c r="E3" s="7" t="s">
        <v>16</v>
      </c>
    </row>
    <row r="4" spans="1:5" ht="24.5" thickBot="1">
      <c r="A4" s="10" t="s">
        <v>2</v>
      </c>
      <c r="B4" s="18" t="s">
        <v>17</v>
      </c>
      <c r="C4" s="14">
        <v>472</v>
      </c>
      <c r="D4" s="14" t="s">
        <v>18</v>
      </c>
      <c r="E4" s="7" t="s">
        <v>13</v>
      </c>
    </row>
    <row r="5" spans="1:5" ht="24.5" thickBot="1">
      <c r="A5" s="10" t="s">
        <v>3</v>
      </c>
      <c r="B5" s="18" t="s">
        <v>19</v>
      </c>
      <c r="C5" s="14">
        <v>118</v>
      </c>
      <c r="D5" s="14" t="s">
        <v>15</v>
      </c>
      <c r="E5" s="7" t="s">
        <v>16</v>
      </c>
    </row>
    <row r="6" spans="1:5" ht="24.5" thickBot="1">
      <c r="A6" s="10" t="s">
        <v>4</v>
      </c>
      <c r="B6" s="18" t="s">
        <v>20</v>
      </c>
      <c r="C6" s="14">
        <v>195</v>
      </c>
      <c r="D6" s="14" t="s">
        <v>12</v>
      </c>
      <c r="E6" s="7" t="s">
        <v>21</v>
      </c>
    </row>
    <row r="7" spans="1:5" ht="24.5" thickBot="1">
      <c r="A7" s="10" t="s">
        <v>5</v>
      </c>
      <c r="B7" s="18" t="s">
        <v>22</v>
      </c>
      <c r="C7" s="14">
        <v>1013</v>
      </c>
      <c r="D7" s="14" t="s">
        <v>12</v>
      </c>
      <c r="E7" s="7" t="s">
        <v>13</v>
      </c>
    </row>
    <row r="8" spans="1:5" ht="24.5" thickBot="1">
      <c r="A8" s="10" t="s">
        <v>6</v>
      </c>
      <c r="B8" s="18" t="s">
        <v>23</v>
      </c>
      <c r="C8" s="14">
        <v>171</v>
      </c>
      <c r="D8" s="14" t="s">
        <v>15</v>
      </c>
      <c r="E8" s="7" t="s">
        <v>16</v>
      </c>
    </row>
    <row r="9" spans="1:5" ht="24.5" thickBot="1">
      <c r="A9" s="10" t="s">
        <v>7</v>
      </c>
      <c r="B9" s="18" t="s">
        <v>24</v>
      </c>
      <c r="C9" s="14">
        <v>305</v>
      </c>
      <c r="D9" s="14" t="s">
        <v>18</v>
      </c>
      <c r="E9" s="7" t="s">
        <v>13</v>
      </c>
    </row>
    <row r="10" spans="1:5" ht="24.5" thickBot="1">
      <c r="A10" s="10" t="s">
        <v>8</v>
      </c>
      <c r="B10" s="18" t="s">
        <v>25</v>
      </c>
      <c r="C10" s="14">
        <v>229</v>
      </c>
      <c r="D10" s="14" t="s">
        <v>18</v>
      </c>
      <c r="E10" s="7" t="s">
        <v>21</v>
      </c>
    </row>
    <row r="11" spans="1:5" ht="24.5" thickBot="1">
      <c r="A11" s="10" t="s">
        <v>9</v>
      </c>
      <c r="B11" s="18" t="s">
        <v>26</v>
      </c>
      <c r="C11" s="14">
        <v>742</v>
      </c>
      <c r="D11" s="14" t="s">
        <v>12</v>
      </c>
      <c r="E11" s="7" t="s">
        <v>13</v>
      </c>
    </row>
    <row r="12" spans="1:5" ht="24.5" thickBot="1">
      <c r="A12" s="10" t="s">
        <v>27</v>
      </c>
      <c r="B12" s="18" t="s">
        <v>28</v>
      </c>
      <c r="C12" s="14">
        <v>1001</v>
      </c>
      <c r="D12" s="14" t="s">
        <v>12</v>
      </c>
      <c r="E12" s="7" t="s">
        <v>13</v>
      </c>
    </row>
    <row r="13" spans="1:5" ht="24.5" thickBot="1">
      <c r="A13" s="10" t="s">
        <v>29</v>
      </c>
      <c r="B13" s="18" t="s">
        <v>30</v>
      </c>
      <c r="C13" s="14">
        <v>442</v>
      </c>
      <c r="D13" s="14" t="s">
        <v>12</v>
      </c>
      <c r="E13" s="7" t="s">
        <v>13</v>
      </c>
    </row>
    <row r="14" spans="1:5" ht="24.5" thickBot="1">
      <c r="A14" s="10" t="s">
        <v>31</v>
      </c>
      <c r="B14" s="18" t="s">
        <v>32</v>
      </c>
      <c r="C14" s="14">
        <v>1456</v>
      </c>
      <c r="D14" s="14" t="s">
        <v>12</v>
      </c>
      <c r="E14" s="7" t="s">
        <v>13</v>
      </c>
    </row>
    <row r="15" spans="1:5" ht="24.5" thickBot="1">
      <c r="A15" s="10" t="s">
        <v>33</v>
      </c>
      <c r="B15" s="18" t="s">
        <v>34</v>
      </c>
      <c r="C15" s="14">
        <v>1458</v>
      </c>
      <c r="D15" s="14" t="s">
        <v>35</v>
      </c>
      <c r="E15" s="7" t="s">
        <v>13</v>
      </c>
    </row>
    <row r="16" spans="1:5" ht="24.5" thickBot="1">
      <c r="A16" s="10" t="s">
        <v>36</v>
      </c>
      <c r="B16" s="18" t="s">
        <v>37</v>
      </c>
      <c r="C16" s="14">
        <v>1449</v>
      </c>
      <c r="D16" s="14" t="s">
        <v>18</v>
      </c>
      <c r="E16" s="7" t="s">
        <v>13</v>
      </c>
    </row>
    <row r="17" spans="1:5" ht="24.5" thickBot="1">
      <c r="A17" s="10" t="s">
        <v>38</v>
      </c>
      <c r="B17" s="18" t="s">
        <v>39</v>
      </c>
      <c r="C17" s="14">
        <v>1464</v>
      </c>
      <c r="D17" s="14" t="s">
        <v>12</v>
      </c>
      <c r="E17" s="7" t="s">
        <v>13</v>
      </c>
    </row>
    <row r="18" spans="1:5" ht="24.5" thickBot="1">
      <c r="A18" s="10" t="s">
        <v>40</v>
      </c>
      <c r="B18" s="18" t="s">
        <v>41</v>
      </c>
      <c r="C18" s="14">
        <v>1464</v>
      </c>
      <c r="D18" s="14" t="s">
        <v>12</v>
      </c>
      <c r="E18" s="7" t="s">
        <v>13</v>
      </c>
    </row>
    <row r="19" spans="1:5" ht="24.5" thickBot="1">
      <c r="A19" s="10" t="s">
        <v>42</v>
      </c>
      <c r="B19" s="18" t="s">
        <v>43</v>
      </c>
      <c r="C19" s="14">
        <v>69</v>
      </c>
      <c r="D19" s="14" t="s">
        <v>18</v>
      </c>
      <c r="E19" s="7" t="s">
        <v>13</v>
      </c>
    </row>
    <row r="20" spans="1:5" ht="24.5" thickBot="1">
      <c r="A20" s="10" t="s">
        <v>44</v>
      </c>
      <c r="B20" s="18" t="s">
        <v>45</v>
      </c>
      <c r="C20" s="14">
        <v>1396</v>
      </c>
      <c r="D20" s="14" t="s">
        <v>18</v>
      </c>
      <c r="E20" s="7" t="s">
        <v>13</v>
      </c>
    </row>
    <row r="21" spans="1:5" ht="24.5" thickBot="1">
      <c r="A21" s="10" t="s">
        <v>46</v>
      </c>
      <c r="B21" s="18" t="s">
        <v>47</v>
      </c>
      <c r="C21" s="14">
        <v>1161</v>
      </c>
      <c r="D21" s="14" t="s">
        <v>18</v>
      </c>
      <c r="E21" s="7" t="s">
        <v>13</v>
      </c>
    </row>
    <row r="22" spans="1:5" ht="24.5" thickBot="1">
      <c r="A22" s="10" t="s">
        <v>48</v>
      </c>
      <c r="B22" s="18" t="s">
        <v>49</v>
      </c>
      <c r="C22" s="14">
        <v>366</v>
      </c>
      <c r="D22" s="14" t="s">
        <v>18</v>
      </c>
      <c r="E22" s="7" t="s">
        <v>13</v>
      </c>
    </row>
    <row r="23" spans="1:5" ht="24.5" thickBot="1">
      <c r="A23" s="10" t="s">
        <v>50</v>
      </c>
      <c r="B23" s="18" t="s">
        <v>51</v>
      </c>
      <c r="C23" s="14">
        <v>1099</v>
      </c>
      <c r="D23" s="14" t="s">
        <v>35</v>
      </c>
      <c r="E23" s="7" t="s">
        <v>13</v>
      </c>
    </row>
    <row r="24" spans="1:5" ht="24.5" thickBot="1">
      <c r="A24" s="10" t="s">
        <v>52</v>
      </c>
      <c r="B24" s="18" t="s">
        <v>53</v>
      </c>
      <c r="C24" s="14">
        <v>340</v>
      </c>
      <c r="D24" s="14" t="s">
        <v>35</v>
      </c>
      <c r="E24" s="7" t="s">
        <v>13</v>
      </c>
    </row>
    <row r="25" spans="1:5" ht="24.5" thickBot="1">
      <c r="A25" s="10" t="s">
        <v>54</v>
      </c>
      <c r="B25" s="18" t="s">
        <v>55</v>
      </c>
      <c r="C25" s="14">
        <v>1470</v>
      </c>
      <c r="D25" s="14" t="s">
        <v>18</v>
      </c>
      <c r="E25" s="7" t="s">
        <v>13</v>
      </c>
    </row>
    <row r="26" spans="1:5" ht="24.5" thickBot="1">
      <c r="A26" s="10" t="s">
        <v>56</v>
      </c>
      <c r="B26" s="18" t="s">
        <v>57</v>
      </c>
      <c r="C26" s="14">
        <v>188</v>
      </c>
      <c r="D26" s="14" t="s">
        <v>12</v>
      </c>
      <c r="E26" s="7" t="s">
        <v>13</v>
      </c>
    </row>
    <row r="27" spans="1:5" ht="15" thickBot="1">
      <c r="A27" s="11" t="s">
        <v>58</v>
      </c>
      <c r="B27" s="20" t="s">
        <v>59</v>
      </c>
      <c r="C27" s="15">
        <v>1182</v>
      </c>
      <c r="D27" s="15" t="s">
        <v>12</v>
      </c>
      <c r="E27" s="8"/>
    </row>
  </sheetData>
  <hyperlinks>
    <hyperlink ref="A2" r:id="rId1" display="https://valtioneuvosto.fi/tietoa/historiaa/hallitukset-ja-ministerit/raportti/-/r/m1/51"/>
    <hyperlink ref="A3" r:id="rId2" display="https://valtioneuvosto.fi/tietoa/historiaa/hallitukset-ja-ministerit/raportti/-/r/m1/52"/>
    <hyperlink ref="A4" r:id="rId3" display="https://valtioneuvosto.fi/tietoa/historiaa/hallitukset-ja-ministerit/raportti/-/r/m1/53"/>
    <hyperlink ref="A5" r:id="rId4" display="https://valtioneuvosto.fi/tietoa/historiaa/hallitukset-ja-ministerit/raportti/-/r/m1/54"/>
    <hyperlink ref="A6" r:id="rId5" display="https://valtioneuvosto.fi/tietoa/historiaa/hallitukset-ja-ministerit/raportti/-/r/m1/55"/>
    <hyperlink ref="A7" r:id="rId6" display="https://valtioneuvosto.fi/tietoa/historiaa/hallitukset-ja-ministerit/raportti/-/r/m1/56"/>
    <hyperlink ref="A8" r:id="rId7" display="https://valtioneuvosto.fi/tietoa/historiaa/hallitukset-ja-ministerit/raportti/-/r/m1/57"/>
    <hyperlink ref="A9" r:id="rId8" display="https://valtioneuvosto.fi/tietoa/historiaa/hallitukset-ja-ministerit/raportti/-/r/m1/58"/>
    <hyperlink ref="A10" r:id="rId9" display="https://valtioneuvosto.fi/tietoa/historiaa/hallitukset-ja-ministerit/raportti/-/r/m1/59"/>
    <hyperlink ref="A11" r:id="rId10" display="https://valtioneuvosto.fi/tietoa/historiaa/hallitukset-ja-ministerit/raportti/-/r/m1/60"/>
    <hyperlink ref="A12" r:id="rId11" display="https://valtioneuvosto.fi/tietoa/historiaa/hallitukset-ja-ministerit/raportti/-/r/m1/61"/>
    <hyperlink ref="A13" r:id="rId12" display="https://valtioneuvosto.fi/tietoa/historiaa/hallitukset-ja-ministerit/raportti/-/r/m1/62"/>
    <hyperlink ref="A14" r:id="rId13" display="https://valtioneuvosto.fi/tietoa/historiaa/hallitukset-ja-ministerit/raportti/-/r/m1/63"/>
    <hyperlink ref="A15" r:id="rId14" display="https://valtioneuvosto.fi/tietoa/historiaa/hallitukset-ja-ministerit/raportti/-/r/m1/64"/>
    <hyperlink ref="A16" r:id="rId15" display="https://valtioneuvosto.fi/tietoa/historiaa/hallitukset-ja-ministerit/raportti/-/r/m1/65"/>
    <hyperlink ref="A17" r:id="rId16" display="https://valtioneuvosto.fi/tietoa/historiaa/hallitukset-ja-ministerit/raportti/-/r/m1/66"/>
    <hyperlink ref="A18" r:id="rId17" display="https://valtioneuvosto.fi/tietoa/historiaa/hallitukset-ja-ministerit/raportti/-/r/m1/67"/>
    <hyperlink ref="A19" r:id="rId18" display="https://valtioneuvosto.fi/tietoa/historiaa/hallitukset-ja-ministerit/raportti/-/r/m1/68"/>
    <hyperlink ref="A20" r:id="rId19" display="https://valtioneuvosto.fi/tietoa/historiaa/hallitukset-ja-ministerit/raportti/-/r/m1/69"/>
    <hyperlink ref="A21" r:id="rId20" display="https://valtioneuvosto.fi/tietoa/historiaa/hallitukset-ja-ministerit/raportti/-/r/m1/70"/>
    <hyperlink ref="A22" r:id="rId21" display="https://valtioneuvosto.fi/tietoa/historiaa/hallitukset-ja-ministerit/raportti/-/r/m1/71"/>
    <hyperlink ref="A23" r:id="rId22" display="https://valtioneuvosto.fi/tietoa/historiaa/hallitukset-ja-ministerit/raportti/-/r/m1/72"/>
    <hyperlink ref="A24" r:id="rId23" display="https://valtioneuvosto.fi/tietoa/historiaa/hallitukset-ja-ministerit/raportti/-/r/m1/73"/>
    <hyperlink ref="A25" r:id="rId24" display="https://valtioneuvosto.fi/tietoa/historiaa/hallitukset-ja-ministerit/raportti/-/r/m1/74"/>
    <hyperlink ref="A26" r:id="rId25" display="https://valtioneuvosto.fi/tietoa/historiaa/hallitukset-ja-ministerit/raportti/-/r/m1/75"/>
    <hyperlink ref="A27" r:id="rId26" display="https://valtioneuvosto.fi/tietoa/historiaa/hallitukset-ja-ministerit/raportti/-/r/m1/7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Yhteenveto</vt:lpstr>
      <vt:lpstr>velka_vuosi</vt:lpstr>
      <vt:lpstr>hallitus_kaudet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Hannu</dc:creator>
  <cp:lastModifiedBy>Hannu</cp:lastModifiedBy>
  <dcterms:created xsi:type="dcterms:W3CDTF">2023-03-05T07:14:59Z</dcterms:created>
  <dcterms:modified xsi:type="dcterms:W3CDTF">2023-03-09T18:44:52Z</dcterms:modified>
</cp:coreProperties>
</file>